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5" activeTab="0"/>
  </bookViews>
  <sheets>
    <sheet name="LCFF Transition Calculation" sheetId="1" r:id="rId1"/>
    <sheet name="P2 J-29 to COE" sheetId="2" r:id="rId2"/>
  </sheets>
  <externalReferences>
    <externalReference r:id="rId5"/>
    <externalReference r:id="rId6"/>
    <externalReference r:id="rId7"/>
  </externalReferences>
  <definedNames>
    <definedName name="\A">#REF!</definedName>
    <definedName name="\F" localSheetId="1">#REF!</definedName>
    <definedName name="\F">#REF!</definedName>
    <definedName name="__GRO1">#REF!</definedName>
    <definedName name="__GRO2">#REF!</definedName>
    <definedName name="__GRO3">#REF!</definedName>
    <definedName name="__GRO4">#REF!</definedName>
    <definedName name="__RDA1">#REF!</definedName>
    <definedName name="__RDA2">#REF!</definedName>
    <definedName name="__RDA3">#REF!</definedName>
    <definedName name="__RDA4">#REF!</definedName>
    <definedName name="_AB454">#REF!</definedName>
    <definedName name="_GRO1" localSheetId="1">#REF!</definedName>
    <definedName name="_GRO2" localSheetId="1">#REF!</definedName>
    <definedName name="_GRO3" localSheetId="1">#REF!</definedName>
    <definedName name="_GRO4" localSheetId="1">#REF!</definedName>
    <definedName name="_Order1" hidden="1">255</definedName>
    <definedName name="_RDA1" localSheetId="1">#REF!</definedName>
    <definedName name="_RDA2" localSheetId="1">#REF!</definedName>
    <definedName name="_RDA3" localSheetId="1">#REF!</definedName>
    <definedName name="_RDA4" localSheetId="1">#REF!</definedName>
    <definedName name="AB81_">#REF!</definedName>
    <definedName name="AB82_">#REF!</definedName>
    <definedName name="AB83_">#REF!</definedName>
    <definedName name="AB84_">#REF!</definedName>
    <definedName name="PAGE1">#REF!</definedName>
    <definedName name="PAGE2">#REF!</definedName>
    <definedName name="PAGE3">#REF!</definedName>
    <definedName name="PAGE4">#REF!</definedName>
    <definedName name="_xlnm.Print_Area" localSheetId="1">'P2 J-29 to COE'!$B$1:$AB$54</definedName>
    <definedName name="PRINT_AREA_MI">#REF!</definedName>
    <definedName name="_xlnm.Print_Titles" localSheetId="1">'P2 J-29 to COE'!$1:$9</definedName>
    <definedName name="PRINT_TITLES_MI">#REF!</definedName>
    <definedName name="unitary" localSheetId="1">#REF!</definedName>
    <definedName name="unitary">#REF!</definedName>
  </definedNames>
  <calcPr fullCalcOnLoad="1"/>
</workbook>
</file>

<file path=xl/comments2.xml><?xml version="1.0" encoding="utf-8"?>
<comments xmlns="http://schemas.openxmlformats.org/spreadsheetml/2006/main">
  <authors>
    <author>Yen Lam</author>
    <author>Gretchen Llorente</author>
  </authors>
  <commentList>
    <comment ref="Y12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Y13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Y23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Y36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Y37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Y38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Y41" authorId="0">
      <text>
        <r>
          <rPr>
            <b/>
            <sz val="9"/>
            <rFont val="Tahoma"/>
            <family val="2"/>
          </rPr>
          <t>Yen Lam:</t>
        </r>
        <r>
          <rPr>
            <sz val="9"/>
            <rFont val="Tahoma"/>
            <family val="2"/>
          </rPr>
          <t xml:space="preserve">
rounding </t>
        </r>
      </text>
    </comment>
    <comment ref="W45" authorId="1">
      <text>
        <r>
          <rPr>
            <b/>
            <sz val="9"/>
            <rFont val="Tahoma"/>
            <family val="2"/>
          </rPr>
          <t>Gretchen Llorente:</t>
        </r>
        <r>
          <rPr>
            <sz val="9"/>
            <rFont val="Tahoma"/>
            <family val="2"/>
          </rPr>
          <t xml:space="preserve">
Off by $1 due to rounding.  Added $1 to tie with number on report</t>
        </r>
      </text>
    </comment>
  </commentList>
</comments>
</file>

<file path=xl/sharedStrings.xml><?xml version="1.0" encoding="utf-8"?>
<sst xmlns="http://schemas.openxmlformats.org/spreadsheetml/2006/main" count="270" uniqueCount="217">
  <si>
    <t>School District LCFF Transition Calculation</t>
  </si>
  <si>
    <t>County:</t>
  </si>
  <si>
    <t>Period:</t>
  </si>
  <si>
    <t>2018-19 P-2</t>
  </si>
  <si>
    <t>District:</t>
  </si>
  <si>
    <t>Santa Clara Unified</t>
  </si>
  <si>
    <t>CDS Code:</t>
  </si>
  <si>
    <t>TARGET [EC 42238.02]</t>
  </si>
  <si>
    <t>Target Entitlement</t>
  </si>
  <si>
    <t>A-1</t>
  </si>
  <si>
    <t>$</t>
  </si>
  <si>
    <t>Funded Based on Target Formula Pursuant to 42238.03(d)</t>
  </si>
  <si>
    <t>FLOOR [EC 42238.03(a)]</t>
  </si>
  <si>
    <t>2012-13 Deficited Base Revenue Limit per ADA (Rate 1)</t>
  </si>
  <si>
    <t>B-1</t>
  </si>
  <si>
    <t>Current Year Funded ADA, Excluding NSS</t>
  </si>
  <si>
    <t>B-2</t>
  </si>
  <si>
    <t>Adjusted Total Deficited Base Revenue Limit (B-1 * B-2)</t>
  </si>
  <si>
    <t>B-3</t>
  </si>
  <si>
    <t>2012-13 Other Revenue Limit per ADA (Rate 2)</t>
  </si>
  <si>
    <t>B-4</t>
  </si>
  <si>
    <t>Current Year Funded ADA, Including NSS</t>
  </si>
  <si>
    <t>B-5</t>
  </si>
  <si>
    <t>Adjusted Total Other Revenue Limit (B-4 * B-5)</t>
  </si>
  <si>
    <t>B-6</t>
  </si>
  <si>
    <t>Adjusted Necessary Small Schools Allowance (Deficited)</t>
  </si>
  <si>
    <t>B-7</t>
  </si>
  <si>
    <t>2012-13 Categorical Programs</t>
  </si>
  <si>
    <t>B-8</t>
  </si>
  <si>
    <t>2012-13 All Charter District Categorical Adjustments</t>
  </si>
  <si>
    <t>B-9</t>
  </si>
  <si>
    <t>Floor Adjustments</t>
  </si>
  <si>
    <t>B-10</t>
  </si>
  <si>
    <t>Prior Year(s) Cumulative Gap Rate per ADA (Commencing with 2014-15)</t>
  </si>
  <si>
    <t>B-11</t>
  </si>
  <si>
    <t>Prior Year(s) Gap Adjusted for Current Year ADA (B-5 * B-11)</t>
  </si>
  <si>
    <t>B-12</t>
  </si>
  <si>
    <t>Total Floor Entitlement (B-3 + B-6 + B-7 + B-8 + B-9 + B-10 + B-12)</t>
  </si>
  <si>
    <t>B-13</t>
  </si>
  <si>
    <t>CURRENT YEAR GAP [EC 42238.03(b)]</t>
  </si>
  <si>
    <t>Need (A-1 - B-13; If less than 0 or District Funded Based on Target, C-1 = 0)</t>
  </si>
  <si>
    <t>C-1</t>
  </si>
  <si>
    <t>Statewide Gap Funding Rate</t>
  </si>
  <si>
    <t>C-2</t>
  </si>
  <si>
    <t>Current Year Gap Funding (C-1 * C-2)</t>
  </si>
  <si>
    <t>C-3</t>
  </si>
  <si>
    <t xml:space="preserve">Economic Recovery Target [EC 42238.025] </t>
  </si>
  <si>
    <t>D-1</t>
  </si>
  <si>
    <t>Miscellaneous Adjustments</t>
  </si>
  <si>
    <t>E-1</t>
  </si>
  <si>
    <t>TRANSITION FUNDING</t>
  </si>
  <si>
    <t>Transition Entitlement (If C-1 = 0, A-1 + D-1 + E-1; B-13 + C-3 + D-1 + E-1)</t>
  </si>
  <si>
    <t>F-1</t>
  </si>
  <si>
    <t>Local Revenue</t>
  </si>
  <si>
    <t>F-2</t>
  </si>
  <si>
    <t>Gross State Aid (F-1 - F-2; If less than 0, F-3 = 0)</t>
  </si>
  <si>
    <t>F-3</t>
  </si>
  <si>
    <t>Local Revenue in Excess of Transition Entitlement Before Minimum State Aid (F-1 - F-2; If greater than 0, F-4 = 0)</t>
  </si>
  <si>
    <t>F-4</t>
  </si>
  <si>
    <t>Education Protection Account Entitlement</t>
  </si>
  <si>
    <t>F-5</t>
  </si>
  <si>
    <t>Net State Aid (F-3 - F-5; If less than 0, F-6 = 0)</t>
  </si>
  <si>
    <t>F-6</t>
  </si>
  <si>
    <t>MINIMUM STATE AID [42238.03(e)]</t>
  </si>
  <si>
    <t>2012-13 Adjusted Revenue Limit per ADA for Minimum State Aid (Rate 3)</t>
  </si>
  <si>
    <t>G-1</t>
  </si>
  <si>
    <t>G-2</t>
  </si>
  <si>
    <t>Adjusted Total Revenue Limit (G-1 * G-2)</t>
  </si>
  <si>
    <t>G-3</t>
  </si>
  <si>
    <t>2012-13 Necessary Small Schools Allowance (Deficited)</t>
  </si>
  <si>
    <t>G-4</t>
  </si>
  <si>
    <t>Minimum State Aid Adjustments</t>
  </si>
  <si>
    <t>G-5</t>
  </si>
  <si>
    <t>Local Revenue (Equals F-2)</t>
  </si>
  <si>
    <t>G-6</t>
  </si>
  <si>
    <t>Education Protection Account Entitlement (Equals F-5)</t>
  </si>
  <si>
    <t>G-7</t>
  </si>
  <si>
    <t>Revenue Limit Minimum State Aid (G-3 + G-4 + G-5 - G-6 - G-7; If less than 0, G-8 = 0)</t>
  </si>
  <si>
    <t>G-8</t>
  </si>
  <si>
    <t>Categorical Minimum State Aid (B-8 + B-9)</t>
  </si>
  <si>
    <t>G-9</t>
  </si>
  <si>
    <t>Minimum State Aid Guarantee (G-8 + G-9)</t>
  </si>
  <si>
    <t>G-10</t>
  </si>
  <si>
    <t>Additional State Aid to Meet the Minimum Guarantee (G-10 - F-6; If less than 0, H-1 = 0)</t>
  </si>
  <si>
    <t>H-1</t>
  </si>
  <si>
    <t>LCFF State Aid, Adjusted for Minimum State Aid Guarantee (F-6 + H-1)</t>
  </si>
  <si>
    <t>H-2</t>
  </si>
  <si>
    <t xml:space="preserve">F-1 </t>
  </si>
  <si>
    <t>Less: F-2</t>
  </si>
  <si>
    <t>Less: G-9</t>
  </si>
  <si>
    <t xml:space="preserve">if negative = Basic Aid </t>
  </si>
  <si>
    <t>Basic Aid Determination</t>
  </si>
  <si>
    <t>CONTROLLER-TREASURER'S  DEPARTMENT</t>
  </si>
  <si>
    <t>SANTA CLARA COUNTY</t>
  </si>
  <si>
    <t>PRELIMINARY COMPUTATION OF LEVY FOR FY2018-2019 J-29-B  P-2</t>
  </si>
  <si>
    <t>[To Col. A-12]</t>
  </si>
  <si>
    <t>[To Col. A-13]</t>
  </si>
  <si>
    <t>[To Col. A-14]</t>
  </si>
  <si>
    <t>SAP</t>
  </si>
  <si>
    <t>2018-2019</t>
  </si>
  <si>
    <t xml:space="preserve">AB8 1% </t>
  </si>
  <si>
    <t>Secured</t>
  </si>
  <si>
    <t>Secured Tax</t>
  </si>
  <si>
    <t>Roll Correction</t>
  </si>
  <si>
    <t xml:space="preserve">Prior Year RDA </t>
  </si>
  <si>
    <t>Estimated</t>
  </si>
  <si>
    <t>Net</t>
  </si>
  <si>
    <t>Aircraft</t>
  </si>
  <si>
    <t>Total</t>
  </si>
  <si>
    <t>TOTAL SEC &amp;</t>
  </si>
  <si>
    <t>Timber</t>
  </si>
  <si>
    <t>PRIOR</t>
  </si>
  <si>
    <t>To Add</t>
  </si>
  <si>
    <t>To Minus</t>
  </si>
  <si>
    <t>Total Tax</t>
  </si>
  <si>
    <t xml:space="preserve">ERAF </t>
  </si>
  <si>
    <t>AB1290</t>
  </si>
  <si>
    <t>RDA</t>
  </si>
  <si>
    <t xml:space="preserve">RDA ASSET </t>
  </si>
  <si>
    <t>Fund</t>
  </si>
  <si>
    <t xml:space="preserve">                N   a   m   e</t>
  </si>
  <si>
    <t>AB8</t>
  </si>
  <si>
    <t>SEC.  Tax</t>
  </si>
  <si>
    <t xml:space="preserve">Prior </t>
  </si>
  <si>
    <t>After Prior</t>
  </si>
  <si>
    <t>Unitary</t>
  </si>
  <si>
    <t>Estimate based on</t>
  </si>
  <si>
    <t>Unsecured (Based on Collections)</t>
  </si>
  <si>
    <t>Unsec</t>
  </si>
  <si>
    <t>UNSECURED</t>
  </si>
  <si>
    <t>HOX Subv.</t>
  </si>
  <si>
    <t>Tax</t>
  </si>
  <si>
    <t>Supplemental Tax</t>
  </si>
  <si>
    <t xml:space="preserve">YEARS' </t>
  </si>
  <si>
    <t>ERAF</t>
  </si>
  <si>
    <t>Excess</t>
  </si>
  <si>
    <t xml:space="preserve">Before </t>
  </si>
  <si>
    <t>(incl RDA residual &amp; asset liq.)</t>
  </si>
  <si>
    <t>RESIDUAL</t>
  </si>
  <si>
    <t>LIQUIDATION</t>
  </si>
  <si>
    <t>No.</t>
  </si>
  <si>
    <t>Factor</t>
  </si>
  <si>
    <t>Year Adj</t>
  </si>
  <si>
    <t>18-19</t>
  </si>
  <si>
    <t>Loss</t>
  </si>
  <si>
    <t>(A3+B+BB+C+D)</t>
  </si>
  <si>
    <t>Collections</t>
  </si>
  <si>
    <t>(F+G)</t>
  </si>
  <si>
    <t>(E+H)</t>
  </si>
  <si>
    <t>TAXES</t>
  </si>
  <si>
    <t>III</t>
  </si>
  <si>
    <t>VLF Swap</t>
  </si>
  <si>
    <t>ERAF&amp;RDA</t>
  </si>
  <si>
    <t>(N+O)</t>
  </si>
  <si>
    <t>PASS-THRU</t>
  </si>
  <si>
    <t>APPORT.</t>
  </si>
  <si>
    <t>A1</t>
  </si>
  <si>
    <t>A2</t>
  </si>
  <si>
    <t>A3 = A1+A2</t>
  </si>
  <si>
    <t>B</t>
  </si>
  <si>
    <t>BB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</si>
  <si>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</si>
  <si>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</si>
  <si>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</si>
  <si>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</si>
  <si>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</si>
  <si>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</si>
  <si>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</si>
  <si>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</si>
  <si>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</si>
  <si>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</si>
  <si>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</si>
  <si>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</si>
  <si>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</si>
  <si>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</si>
  <si>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</si>
  <si>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R  </t>
  </si>
  <si>
    <t>S</t>
  </si>
  <si>
    <t>Alum Rock Union Elem</t>
  </si>
  <si>
    <t>Berryessa Union Elem</t>
  </si>
  <si>
    <t>Cambrian Elementary</t>
  </si>
  <si>
    <t>Campbell Union Elem</t>
  </si>
  <si>
    <t>Cupertino Union Elem</t>
  </si>
  <si>
    <t>Evergreen Elementary</t>
  </si>
  <si>
    <t>Franklin-McKinley Elem</t>
  </si>
  <si>
    <t>Lakeside Joint Elem</t>
  </si>
  <si>
    <t>Loma Prieta Jt Un Elem</t>
  </si>
  <si>
    <t>Los Altos Elementary</t>
  </si>
  <si>
    <t>Los Gatos Union Elem</t>
  </si>
  <si>
    <t>Luther Burbank Elem</t>
  </si>
  <si>
    <t>Moreland Elementary</t>
  </si>
  <si>
    <t>Mt. Pleasant Elementary</t>
  </si>
  <si>
    <t>Mountain View-Whisman Elem</t>
  </si>
  <si>
    <t>North County Jt Un Elem</t>
  </si>
  <si>
    <t>Oak Grove Elementary</t>
  </si>
  <si>
    <t>Orchard Elementary *</t>
  </si>
  <si>
    <t xml:space="preserve">Orchard become basic aid at P-2 due to Asset Distribution </t>
  </si>
  <si>
    <t>Saratoga Union Elem</t>
  </si>
  <si>
    <t>Sunnyvale Elementary</t>
  </si>
  <si>
    <t>Union Elementary</t>
  </si>
  <si>
    <t>Subtotal</t>
  </si>
  <si>
    <t xml:space="preserve"> </t>
  </si>
  <si>
    <t>Campbell Union High</t>
  </si>
  <si>
    <t>East Side Union High</t>
  </si>
  <si>
    <t>Fremont Union High</t>
  </si>
  <si>
    <t>Los Gatos-Saratoga High</t>
  </si>
  <si>
    <t>Mountain View-Los Altos High</t>
  </si>
  <si>
    <t>Gilroy Unified</t>
  </si>
  <si>
    <t>Milpitas Unified</t>
  </si>
  <si>
    <t>Morgan Hill Unified</t>
  </si>
  <si>
    <t>Palo Alto Unified</t>
  </si>
  <si>
    <t>Patterson Joint Unified</t>
  </si>
  <si>
    <t>San Jose Unified</t>
  </si>
  <si>
    <t>County School Service</t>
  </si>
  <si>
    <t>T O T A L</t>
  </si>
  <si>
    <t xml:space="preserve">*  Orchard become basic aid at P-2 due to Asset Distribution </t>
  </si>
  <si>
    <t>OBJECT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</si>
</sst>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_);\(0.000000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rgb="FFFF0000"/>
      <name val="Calibri"/>
      <family val="2"/>
    </font>
    <font>
      <b/>
      <sz val="13.5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3" fontId="43" fillId="0" borderId="10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0" fontId="42" fillId="33" borderId="0" xfId="0" applyFont="1" applyFill="1" applyAlignment="1">
      <alignment wrapText="1"/>
    </xf>
    <xf numFmtId="0" fontId="43" fillId="33" borderId="0" xfId="0" applyFont="1" applyFill="1" applyAlignment="1">
      <alignment horizontal="right" wrapText="1"/>
    </xf>
    <xf numFmtId="0" fontId="43" fillId="33" borderId="0" xfId="0" applyFont="1" applyFill="1" applyAlignment="1">
      <alignment wrapText="1"/>
    </xf>
    <xf numFmtId="3" fontId="43" fillId="33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righ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3" fontId="43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12" xfId="0" applyNumberForma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0" fontId="44" fillId="0" borderId="19" xfId="0" applyFont="1" applyBorder="1" applyAlignment="1">
      <alignment/>
    </xf>
    <xf numFmtId="0" fontId="0" fillId="0" borderId="20" xfId="0" applyBorder="1" applyAlignment="1">
      <alignment/>
    </xf>
    <xf numFmtId="0" fontId="4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2" fontId="0" fillId="0" borderId="14" xfId="0" applyNumberFormat="1" applyFill="1" applyBorder="1" applyAlignment="1">
      <alignment/>
    </xf>
    <xf numFmtId="42" fontId="0" fillId="0" borderId="19" xfId="0" applyNumberFormat="1" applyBorder="1" applyAlignment="1">
      <alignment/>
    </xf>
    <xf numFmtId="0" fontId="22" fillId="0" borderId="0" xfId="55" applyFill="1" applyAlignment="1">
      <alignment horizontal="center"/>
      <protection/>
    </xf>
    <xf numFmtId="0" fontId="22" fillId="0" borderId="0" xfId="55" applyFill="1">
      <alignment/>
      <protection/>
    </xf>
    <xf numFmtId="164" fontId="22" fillId="0" borderId="24" xfId="55" applyNumberFormat="1" applyFont="1" applyFill="1" applyBorder="1" applyAlignment="1">
      <alignment horizontal="right"/>
      <protection/>
    </xf>
    <xf numFmtId="37" fontId="22" fillId="0" borderId="0" xfId="55" applyNumberFormat="1" applyFill="1">
      <alignment/>
      <protection/>
    </xf>
    <xf numFmtId="37" fontId="22" fillId="0" borderId="25" xfId="55" applyNumberFormat="1" applyFill="1" applyBorder="1">
      <alignment/>
      <protection/>
    </xf>
    <xf numFmtId="37" fontId="22" fillId="0" borderId="24" xfId="55" applyNumberFormat="1" applyFill="1" applyBorder="1">
      <alignment/>
      <protection/>
    </xf>
    <xf numFmtId="0" fontId="22" fillId="33" borderId="0" xfId="55" applyFill="1" applyAlignment="1">
      <alignment horizontal="center"/>
      <protection/>
    </xf>
    <xf numFmtId="0" fontId="22" fillId="33" borderId="0" xfId="55" applyFill="1">
      <alignment/>
      <protection/>
    </xf>
    <xf numFmtId="164" fontId="22" fillId="33" borderId="24" xfId="55" applyNumberFormat="1" applyFont="1" applyFill="1" applyBorder="1" applyAlignment="1">
      <alignment horizontal="right"/>
      <protection/>
    </xf>
    <xf numFmtId="37" fontId="22" fillId="33" borderId="0" xfId="55" applyNumberFormat="1" applyFill="1">
      <alignment/>
      <protection/>
    </xf>
    <xf numFmtId="37" fontId="22" fillId="33" borderId="0" xfId="55" applyNumberFormat="1" applyFont="1" applyFill="1">
      <alignment/>
      <protection/>
    </xf>
    <xf numFmtId="164" fontId="22" fillId="0" borderId="0" xfId="55" applyNumberFormat="1" applyFont="1" applyFill="1" applyAlignment="1">
      <alignment horizontal="right"/>
      <protection/>
    </xf>
    <xf numFmtId="0" fontId="22" fillId="0" borderId="0" xfId="55" applyFont="1" applyFill="1" applyAlignment="1">
      <alignment horizontal="center"/>
      <protection/>
    </xf>
    <xf numFmtId="0" fontId="22" fillId="0" borderId="26" xfId="55" applyFill="1" applyBorder="1" applyAlignment="1">
      <alignment horizontal="center"/>
      <protection/>
    </xf>
    <xf numFmtId="164" fontId="22" fillId="0" borderId="26" xfId="55" applyNumberFormat="1" applyFont="1" applyFill="1" applyBorder="1" applyAlignment="1" quotePrefix="1">
      <alignment horizontal="center"/>
      <protection/>
    </xf>
    <xf numFmtId="0" fontId="22" fillId="0" borderId="26" xfId="55" applyFont="1" applyFill="1" applyBorder="1" applyAlignment="1">
      <alignment horizontal="center"/>
      <protection/>
    </xf>
    <xf numFmtId="0" fontId="22" fillId="0" borderId="26" xfId="55" applyFont="1" applyFill="1" applyBorder="1" applyAlignment="1" quotePrefix="1">
      <alignment horizontal="center"/>
      <protection/>
    </xf>
    <xf numFmtId="0" fontId="22" fillId="0" borderId="24" xfId="55" applyFill="1" applyBorder="1" applyAlignment="1">
      <alignment horizontal="center"/>
      <protection/>
    </xf>
    <xf numFmtId="0" fontId="22" fillId="0" borderId="24" xfId="55" applyFill="1" applyBorder="1" applyAlignment="1">
      <alignment horizontal="left"/>
      <protection/>
    </xf>
    <xf numFmtId="164" fontId="22" fillId="0" borderId="24" xfId="55" applyNumberFormat="1" applyFont="1" applyFill="1" applyBorder="1" applyAlignment="1">
      <alignment horizontal="center"/>
      <protection/>
    </xf>
    <xf numFmtId="0" fontId="22" fillId="0" borderId="24" xfId="55" applyFont="1" applyFill="1" applyBorder="1" applyAlignment="1">
      <alignment horizontal="center"/>
      <protection/>
    </xf>
    <xf numFmtId="0" fontId="23" fillId="0" borderId="24" xfId="55" applyFont="1" applyFill="1" applyBorder="1" applyAlignment="1">
      <alignment horizontal="center"/>
      <protection/>
    </xf>
    <xf numFmtId="0" fontId="22" fillId="0" borderId="24" xfId="55" applyFont="1" applyFill="1" applyBorder="1" applyAlignment="1">
      <alignment horizontal="center" wrapText="1"/>
      <protection/>
    </xf>
    <xf numFmtId="0" fontId="22" fillId="0" borderId="24" xfId="55" applyFill="1" applyBorder="1" applyAlignment="1">
      <alignment horizontal="center" wrapText="1"/>
      <protection/>
    </xf>
    <xf numFmtId="0" fontId="22" fillId="0" borderId="27" xfId="55" applyFill="1" applyBorder="1" applyAlignment="1">
      <alignment horizontal="center"/>
      <protection/>
    </xf>
    <xf numFmtId="164" fontId="22" fillId="0" borderId="27" xfId="55" applyNumberFormat="1" applyFont="1" applyFill="1" applyBorder="1" applyAlignment="1">
      <alignment horizontal="center"/>
      <protection/>
    </xf>
    <xf numFmtId="37" fontId="22" fillId="0" borderId="27" xfId="55" applyNumberFormat="1" applyFill="1" applyBorder="1" applyAlignment="1">
      <alignment horizontal="center"/>
      <protection/>
    </xf>
    <xf numFmtId="37" fontId="22" fillId="0" borderId="27" xfId="55" applyNumberFormat="1" applyFont="1" applyFill="1" applyBorder="1" applyAlignment="1">
      <alignment horizontal="center"/>
      <protection/>
    </xf>
    <xf numFmtId="0" fontId="22" fillId="0" borderId="27" xfId="55" applyFont="1" applyFill="1" applyBorder="1" applyAlignment="1">
      <alignment horizontal="center"/>
      <protection/>
    </xf>
    <xf numFmtId="9" fontId="22" fillId="0" borderId="27" xfId="55" applyNumberFormat="1" applyFill="1" applyBorder="1" applyAlignment="1">
      <alignment horizontal="center"/>
      <protection/>
    </xf>
    <xf numFmtId="164" fontId="22" fillId="0" borderId="26" xfId="55" applyNumberFormat="1" applyFont="1" applyFill="1" applyBorder="1" applyAlignment="1">
      <alignment horizontal="right"/>
      <protection/>
    </xf>
    <xf numFmtId="0" fontId="22" fillId="0" borderId="28" xfId="55" applyFill="1" applyBorder="1" applyAlignment="1">
      <alignment horizontal="center"/>
      <protection/>
    </xf>
    <xf numFmtId="37" fontId="22" fillId="0" borderId="0" xfId="55" applyNumberFormat="1" applyFill="1" applyAlignment="1">
      <alignment horizontal="center"/>
      <protection/>
    </xf>
    <xf numFmtId="37" fontId="22" fillId="0" borderId="24" xfId="55" applyNumberFormat="1" applyFont="1" applyFill="1" applyBorder="1">
      <alignment/>
      <protection/>
    </xf>
    <xf numFmtId="0" fontId="22" fillId="0" borderId="0" xfId="55" applyFont="1" applyFill="1">
      <alignment/>
      <protection/>
    </xf>
    <xf numFmtId="37" fontId="22" fillId="0" borderId="0" xfId="55" applyNumberFormat="1" applyFont="1" applyFill="1">
      <alignment/>
      <protection/>
    </xf>
    <xf numFmtId="37" fontId="22" fillId="0" borderId="25" xfId="55" applyNumberFormat="1" applyFont="1" applyFill="1" applyBorder="1">
      <alignment/>
      <protection/>
    </xf>
    <xf numFmtId="0" fontId="23" fillId="0" borderId="0" xfId="55" applyFont="1" applyFill="1">
      <alignment/>
      <protection/>
    </xf>
    <xf numFmtId="37" fontId="23" fillId="0" borderId="29" xfId="55" applyNumberFormat="1" applyFont="1" applyFill="1" applyBorder="1">
      <alignment/>
      <protection/>
    </xf>
    <xf numFmtId="37" fontId="23" fillId="0" borderId="28" xfId="55" applyNumberFormat="1" applyFont="1" applyFill="1" applyBorder="1">
      <alignment/>
      <protection/>
    </xf>
    <xf numFmtId="37" fontId="23" fillId="0" borderId="30" xfId="55" applyNumberFormat="1" applyFont="1" applyFill="1" applyBorder="1">
      <alignment/>
      <protection/>
    </xf>
    <xf numFmtId="37" fontId="23" fillId="0" borderId="26" xfId="55" applyNumberFormat="1" applyFont="1" applyFill="1" applyBorder="1">
      <alignment/>
      <protection/>
    </xf>
    <xf numFmtId="0" fontId="22" fillId="33" borderId="0" xfId="55" applyFont="1" applyFill="1">
      <alignment/>
      <protection/>
    </xf>
    <xf numFmtId="37" fontId="22" fillId="33" borderId="25" xfId="55" applyNumberFormat="1" applyFont="1" applyFill="1" applyBorder="1">
      <alignment/>
      <protection/>
    </xf>
    <xf numFmtId="37" fontId="22" fillId="33" borderId="24" xfId="55" applyNumberFormat="1" applyFont="1" applyFill="1" applyBorder="1">
      <alignment/>
      <protection/>
    </xf>
    <xf numFmtId="0" fontId="23" fillId="13" borderId="0" xfId="55" applyFont="1" applyFill="1" applyAlignment="1">
      <alignment horizontal="center"/>
      <protection/>
    </xf>
    <xf numFmtId="0" fontId="23" fillId="13" borderId="0" xfId="55" applyFont="1" applyFill="1">
      <alignment/>
      <protection/>
    </xf>
    <xf numFmtId="164" fontId="23" fillId="13" borderId="0" xfId="55" applyNumberFormat="1" applyFont="1" applyFill="1" applyAlignment="1">
      <alignment horizontal="right"/>
      <protection/>
    </xf>
    <xf numFmtId="0" fontId="23" fillId="13" borderId="0" xfId="55" applyFont="1" applyFill="1" applyAlignment="1">
      <alignment horizontal="right"/>
      <protection/>
    </xf>
    <xf numFmtId="0" fontId="0" fillId="0" borderId="0" xfId="0" applyAlignment="1">
      <alignment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L\Property%20Tax\Apportionments\SECURED\FY17-18\17-18%20YE%20and%20Teeter%20Adjustments\1%\FY17-18%20YE%20Teeter%20Adjustment%20(1%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L\Property%20Tax\RDAs\2018-19%20RDAs\FY1718%20RDA%20roll%20correction%20Apport%20Schedule%20-%20Jurisdict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lam\AppData\Local\Microsoft\Windows\Temporary%20Internet%20Files\Content.Outlook\CF3K3OF5\J-29%20levy%204-15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 Teeter Bal June 10-ref"/>
      <sheetName val="1% Teeter Adj"/>
    </sheetNames>
    <sheetDataSet>
      <sheetData sheetId="1">
        <row r="25">
          <cell r="I25">
            <v>4771.820000000001</v>
          </cell>
        </row>
        <row r="26">
          <cell r="I26">
            <v>5841.2300000000005</v>
          </cell>
        </row>
        <row r="27">
          <cell r="I27">
            <v>2940.14</v>
          </cell>
        </row>
        <row r="28">
          <cell r="I28">
            <v>10027.42</v>
          </cell>
        </row>
        <row r="29">
          <cell r="I29">
            <v>19423.93</v>
          </cell>
        </row>
        <row r="30">
          <cell r="I30">
            <v>8823.57</v>
          </cell>
        </row>
        <row r="31">
          <cell r="I31">
            <v>4968.81</v>
          </cell>
        </row>
        <row r="32">
          <cell r="I32">
            <v>57.730000000000004</v>
          </cell>
        </row>
        <row r="33">
          <cell r="I33">
            <v>137.23000000000002</v>
          </cell>
        </row>
        <row r="34">
          <cell r="I34">
            <v>8070.27</v>
          </cell>
        </row>
        <row r="35">
          <cell r="I35">
            <v>5512.759999999999</v>
          </cell>
        </row>
        <row r="36">
          <cell r="I36">
            <v>196.17000000000002</v>
          </cell>
        </row>
        <row r="37">
          <cell r="I37">
            <v>4597.43</v>
          </cell>
        </row>
        <row r="38">
          <cell r="I38">
            <v>1300.23</v>
          </cell>
        </row>
        <row r="39">
          <cell r="I39">
            <v>10507.16</v>
          </cell>
        </row>
        <row r="40">
          <cell r="I40">
            <v>5813.16</v>
          </cell>
        </row>
        <row r="41">
          <cell r="I41">
            <v>2052.4900000000002</v>
          </cell>
        </row>
        <row r="42">
          <cell r="I42">
            <v>4984.25</v>
          </cell>
        </row>
        <row r="43">
          <cell r="I43">
            <v>12229.76</v>
          </cell>
        </row>
        <row r="44">
          <cell r="I44">
            <v>5372.969999999999</v>
          </cell>
        </row>
        <row r="45">
          <cell r="I45">
            <v>8264.45</v>
          </cell>
        </row>
        <row r="46">
          <cell r="I46">
            <v>14533.78</v>
          </cell>
        </row>
        <row r="48">
          <cell r="I48">
            <v>32211.390000000003</v>
          </cell>
        </row>
        <row r="49">
          <cell r="I49">
            <v>43097.840000000004</v>
          </cell>
        </row>
        <row r="50">
          <cell r="I50">
            <v>9169.61</v>
          </cell>
        </row>
        <row r="51">
          <cell r="I51">
            <v>11614.02</v>
          </cell>
        </row>
        <row r="52">
          <cell r="I52">
            <v>13249.65</v>
          </cell>
        </row>
        <row r="53">
          <cell r="I53">
            <v>41280.78</v>
          </cell>
        </row>
        <row r="54">
          <cell r="I54">
            <v>29930.28</v>
          </cell>
        </row>
        <row r="55">
          <cell r="I55">
            <v>14973.07</v>
          </cell>
        </row>
        <row r="56">
          <cell r="I56">
            <v>23519.17</v>
          </cell>
        </row>
        <row r="57">
          <cell r="I57">
            <v>23664.83</v>
          </cell>
        </row>
        <row r="93">
          <cell r="I93">
            <v>13.780000000000001</v>
          </cell>
        </row>
        <row r="96">
          <cell r="I96">
            <v>32.25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2018 RDA Roll Corr SEC"/>
      <sheetName val="FY2018 RDA Roll Corr UNSEC"/>
    </sheetNames>
    <sheetDataSet>
      <sheetData sheetId="0">
        <row r="54">
          <cell r="D54">
            <v>33060.35</v>
          </cell>
        </row>
        <row r="55">
          <cell r="D55">
            <v>40469.49</v>
          </cell>
        </row>
        <row r="56">
          <cell r="D56">
            <v>20370.02</v>
          </cell>
        </row>
        <row r="57">
          <cell r="D57">
            <v>69472.41</v>
          </cell>
        </row>
        <row r="58">
          <cell r="D58">
            <v>134573.81</v>
          </cell>
        </row>
        <row r="59">
          <cell r="D59">
            <v>61131.86</v>
          </cell>
        </row>
        <row r="60">
          <cell r="D60">
            <v>34425.11</v>
          </cell>
        </row>
        <row r="61">
          <cell r="D61">
            <v>399.95</v>
          </cell>
        </row>
        <row r="62">
          <cell r="D62">
            <v>950.77</v>
          </cell>
        </row>
        <row r="63">
          <cell r="D63">
            <v>55912.83</v>
          </cell>
        </row>
        <row r="64">
          <cell r="D64">
            <v>38193.77</v>
          </cell>
        </row>
        <row r="65">
          <cell r="D65">
            <v>1359.14</v>
          </cell>
        </row>
        <row r="66">
          <cell r="D66">
            <v>31852.15</v>
          </cell>
        </row>
        <row r="67">
          <cell r="D67">
            <v>9008.26</v>
          </cell>
        </row>
        <row r="68">
          <cell r="D68">
            <v>72796.18</v>
          </cell>
        </row>
        <row r="69">
          <cell r="D69">
            <v>40275.03</v>
          </cell>
        </row>
        <row r="70">
          <cell r="D70">
            <v>14220.18</v>
          </cell>
        </row>
        <row r="71">
          <cell r="D71">
            <v>34532.12</v>
          </cell>
        </row>
        <row r="72">
          <cell r="D72">
            <v>84730.81</v>
          </cell>
        </row>
        <row r="73">
          <cell r="D73">
            <v>37225.32</v>
          </cell>
        </row>
        <row r="74">
          <cell r="D74">
            <v>57258.18</v>
          </cell>
        </row>
        <row r="75">
          <cell r="D75">
            <v>100693.61</v>
          </cell>
        </row>
        <row r="77">
          <cell r="D77">
            <v>223168.44</v>
          </cell>
        </row>
        <row r="78">
          <cell r="D78">
            <v>298592.49</v>
          </cell>
        </row>
        <row r="79">
          <cell r="D79">
            <v>63529.34</v>
          </cell>
        </row>
        <row r="80">
          <cell r="D80">
            <v>80464.84</v>
          </cell>
        </row>
        <row r="81">
          <cell r="D81">
            <v>91796.87</v>
          </cell>
        </row>
        <row r="82">
          <cell r="D82">
            <v>286003.48</v>
          </cell>
        </row>
        <row r="83">
          <cell r="D83">
            <v>207364.36</v>
          </cell>
        </row>
        <row r="84">
          <cell r="D84">
            <v>103737.15</v>
          </cell>
        </row>
        <row r="85">
          <cell r="D85">
            <v>162946.66</v>
          </cell>
        </row>
        <row r="86">
          <cell r="D86">
            <v>163955.85</v>
          </cell>
        </row>
        <row r="122">
          <cell r="D122">
            <v>95.45</v>
          </cell>
        </row>
        <row r="125">
          <cell r="D125">
            <v>223.44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dates Summary"/>
      <sheetName val="P2"/>
      <sheetName val="P2 to COE"/>
      <sheetName val="Aircraft"/>
      <sheetName val="Unsecured"/>
      <sheetName val="Supplemental "/>
      <sheetName val="Supplemental-Old"/>
      <sheetName val="2018-19 Unitary 1% Tax"/>
      <sheetName val="FY1415 RDA Roll Correction"/>
      <sheetName val="HOPTR"/>
      <sheetName val="RDA Residual Apport."/>
      <sheetName val="Pass-Through"/>
      <sheetName val="RDA Loss"/>
      <sheetName val="LMIHF Distri."/>
    </sheetNames>
    <sheetDataSet>
      <sheetData sheetId="5">
        <row r="81">
          <cell r="V81">
            <v>4588000</v>
          </cell>
        </row>
        <row r="82">
          <cell r="V82">
            <v>2408000</v>
          </cell>
        </row>
        <row r="83">
          <cell r="V83">
            <v>1073000</v>
          </cell>
        </row>
        <row r="84">
          <cell r="V84">
            <v>7000</v>
          </cell>
        </row>
        <row r="85">
          <cell r="V85">
            <v>5948000</v>
          </cell>
        </row>
        <row r="86">
          <cell r="V86">
            <v>4005000</v>
          </cell>
        </row>
        <row r="87">
          <cell r="V87">
            <v>3594000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169000</v>
          </cell>
        </row>
        <row r="94">
          <cell r="V94">
            <v>1665000</v>
          </cell>
        </row>
        <row r="95">
          <cell r="V95">
            <v>842000</v>
          </cell>
        </row>
        <row r="96">
          <cell r="V96">
            <v>0</v>
          </cell>
        </row>
        <row r="97">
          <cell r="V97">
            <v>3395000</v>
          </cell>
        </row>
        <row r="98">
          <cell r="V98">
            <v>294000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1775000</v>
          </cell>
        </row>
        <row r="103">
          <cell r="V103">
            <v>0</v>
          </cell>
        </row>
        <row r="104">
          <cell r="V104">
            <v>0</v>
          </cell>
        </row>
        <row r="106">
          <cell r="V106">
            <v>0</v>
          </cell>
        </row>
        <row r="107">
          <cell r="V107">
            <v>10655000</v>
          </cell>
        </row>
        <row r="108">
          <cell r="V108">
            <v>3621000</v>
          </cell>
        </row>
        <row r="109">
          <cell r="V109">
            <v>2856000</v>
          </cell>
        </row>
        <row r="110">
          <cell r="V110">
            <v>3216000</v>
          </cell>
        </row>
        <row r="111">
          <cell r="V111">
            <v>0</v>
          </cell>
        </row>
        <row r="112">
          <cell r="V112">
            <v>4965000</v>
          </cell>
        </row>
        <row r="115">
          <cell r="V115">
            <v>0</v>
          </cell>
        </row>
        <row r="116">
          <cell r="V116">
            <v>8569000</v>
          </cell>
        </row>
        <row r="117">
          <cell r="V117">
            <v>0</v>
          </cell>
        </row>
        <row r="123">
          <cell r="V123">
            <v>0</v>
          </cell>
        </row>
        <row r="124">
          <cell r="V124">
            <v>0</v>
          </cell>
        </row>
      </sheetData>
      <sheetData sheetId="7">
        <row r="23">
          <cell r="G23">
            <v>342779</v>
          </cell>
        </row>
        <row r="24">
          <cell r="G24">
            <v>4403</v>
          </cell>
        </row>
        <row r="26">
          <cell r="G26">
            <v>268821</v>
          </cell>
        </row>
        <row r="27">
          <cell r="G27">
            <v>11368</v>
          </cell>
        </row>
        <row r="28">
          <cell r="G28">
            <v>126401</v>
          </cell>
        </row>
        <row r="29">
          <cell r="G29">
            <v>458662</v>
          </cell>
        </row>
        <row r="30">
          <cell r="G30">
            <v>888773</v>
          </cell>
        </row>
        <row r="31">
          <cell r="G31">
            <v>372788</v>
          </cell>
        </row>
        <row r="32">
          <cell r="G32">
            <v>238459</v>
          </cell>
        </row>
        <row r="33">
          <cell r="G33">
            <v>522686</v>
          </cell>
        </row>
        <row r="34">
          <cell r="G34">
            <v>10048</v>
          </cell>
        </row>
        <row r="35">
          <cell r="G35">
            <v>4787</v>
          </cell>
        </row>
        <row r="36">
          <cell r="G36">
            <v>621743</v>
          </cell>
        </row>
        <row r="37">
          <cell r="G37">
            <v>38003</v>
          </cell>
        </row>
        <row r="38">
          <cell r="G38">
            <v>273025</v>
          </cell>
        </row>
        <row r="39">
          <cell r="G39">
            <v>278456</v>
          </cell>
        </row>
        <row r="40">
          <cell r="G40">
            <v>541498</v>
          </cell>
        </row>
        <row r="41">
          <cell r="G41">
            <v>208568</v>
          </cell>
        </row>
        <row r="42">
          <cell r="G42">
            <v>61736</v>
          </cell>
        </row>
        <row r="43">
          <cell r="G43">
            <v>397992</v>
          </cell>
        </row>
        <row r="44">
          <cell r="G44">
            <v>269689</v>
          </cell>
        </row>
        <row r="45">
          <cell r="G45">
            <v>39488</v>
          </cell>
        </row>
        <row r="46">
          <cell r="G46">
            <v>1399507</v>
          </cell>
        </row>
        <row r="47">
          <cell r="G47">
            <v>3080766</v>
          </cell>
        </row>
        <row r="48">
          <cell r="G48">
            <v>1511333</v>
          </cell>
        </row>
        <row r="49">
          <cell r="G49">
            <v>186783</v>
          </cell>
        </row>
        <row r="50">
          <cell r="G50">
            <v>621917</v>
          </cell>
        </row>
        <row r="51">
          <cell r="G51">
            <v>228397</v>
          </cell>
        </row>
        <row r="52">
          <cell r="G52">
            <v>670140</v>
          </cell>
        </row>
        <row r="53">
          <cell r="G53">
            <v>1017024</v>
          </cell>
        </row>
        <row r="54">
          <cell r="G54">
            <v>1138410</v>
          </cell>
        </row>
        <row r="55">
          <cell r="G55">
            <v>388268</v>
          </cell>
        </row>
        <row r="56">
          <cell r="G56">
            <v>532252</v>
          </cell>
        </row>
        <row r="64">
          <cell r="G64">
            <v>1381961</v>
          </cell>
        </row>
      </sheetData>
      <sheetData sheetId="11">
        <row r="7">
          <cell r="G7">
            <v>64739.61829</v>
          </cell>
        </row>
        <row r="10">
          <cell r="G10">
            <v>227041.28108000002</v>
          </cell>
        </row>
        <row r="12">
          <cell r="G12">
            <v>848392.30181</v>
          </cell>
        </row>
        <row r="13">
          <cell r="G13">
            <v>672794.4820399999</v>
          </cell>
        </row>
        <row r="14">
          <cell r="G14">
            <v>137003.56418000002</v>
          </cell>
        </row>
        <row r="16">
          <cell r="G16">
            <v>2334384.9539099997</v>
          </cell>
        </row>
        <row r="17">
          <cell r="G17">
            <v>118250.32552</v>
          </cell>
        </row>
        <row r="19">
          <cell r="G19">
            <v>3422778.23546</v>
          </cell>
        </row>
        <row r="20">
          <cell r="G20">
            <v>1552163.5778700002</v>
          </cell>
        </row>
        <row r="21">
          <cell r="G21">
            <v>2612828.60893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="130" zoomScaleNormal="130" zoomScalePageLayoutView="0" workbookViewId="0" topLeftCell="A16">
      <selection activeCell="G16" sqref="G16"/>
    </sheetView>
  </sheetViews>
  <sheetFormatPr defaultColWidth="9.140625" defaultRowHeight="15"/>
  <cols>
    <col min="1" max="1" width="40.57421875" style="0" customWidth="1"/>
    <col min="2" max="2" width="18.00390625" style="0" bestFit="1" customWidth="1"/>
    <col min="3" max="3" width="2.00390625" style="0" customWidth="1"/>
    <col min="4" max="4" width="12.421875" style="0" customWidth="1"/>
    <col min="5" max="5" width="11.00390625" style="0" bestFit="1" customWidth="1"/>
    <col min="6" max="6" width="12.00390625" style="0" customWidth="1"/>
    <col min="7" max="7" width="16.28125" style="0" customWidth="1"/>
    <col min="8" max="8" width="10.00390625" style="0" customWidth="1"/>
    <col min="9" max="9" width="10.57421875" style="0" customWidth="1"/>
  </cols>
  <sheetData>
    <row r="1" spans="1:5" ht="15">
      <c r="A1" s="87" t="s">
        <v>0</v>
      </c>
      <c r="B1" s="87"/>
      <c r="C1" s="87"/>
      <c r="D1" s="87"/>
      <c r="E1" s="87"/>
    </row>
    <row r="2" spans="1:5" ht="15">
      <c r="A2" s="87"/>
      <c r="B2" s="87"/>
      <c r="C2" s="87"/>
      <c r="D2" s="87"/>
      <c r="E2" s="87"/>
    </row>
    <row r="3" spans="1:5" ht="15">
      <c r="A3" s="1" t="s">
        <v>1</v>
      </c>
      <c r="B3" s="2"/>
      <c r="C3" s="2"/>
      <c r="D3" s="1" t="s">
        <v>2</v>
      </c>
      <c r="E3" s="2" t="s">
        <v>3</v>
      </c>
    </row>
    <row r="4" spans="1:5" ht="15">
      <c r="A4" s="1" t="s">
        <v>4</v>
      </c>
      <c r="B4" s="2"/>
      <c r="C4" s="2"/>
      <c r="D4" s="1" t="s">
        <v>6</v>
      </c>
      <c r="E4" s="2"/>
    </row>
    <row r="5" spans="1:5" ht="15">
      <c r="A5" s="86"/>
      <c r="B5" s="86"/>
      <c r="C5" s="86"/>
      <c r="D5" s="86"/>
      <c r="E5" s="86"/>
    </row>
    <row r="6" spans="1:5" ht="15">
      <c r="A6" s="3" t="s">
        <v>7</v>
      </c>
      <c r="B6" s="4"/>
      <c r="C6" s="5"/>
      <c r="D6" s="5"/>
      <c r="E6" s="4"/>
    </row>
    <row r="7" spans="1:7" ht="15">
      <c r="A7" s="86"/>
      <c r="B7" s="86"/>
      <c r="C7" s="86"/>
      <c r="D7" s="86"/>
      <c r="E7" s="86"/>
      <c r="F7" s="86"/>
      <c r="G7" s="86"/>
    </row>
    <row r="8" spans="1:5" ht="15.75" thickBot="1">
      <c r="A8" s="5" t="s">
        <v>8</v>
      </c>
      <c r="B8" s="4" t="s">
        <v>9</v>
      </c>
      <c r="C8" s="5" t="s">
        <v>10</v>
      </c>
      <c r="D8" s="6">
        <v>136713170</v>
      </c>
      <c r="E8" s="4"/>
    </row>
    <row r="9" spans="1:7" ht="15">
      <c r="A9" s="86"/>
      <c r="B9" s="86"/>
      <c r="C9" s="86"/>
      <c r="D9" s="86"/>
      <c r="E9" s="86"/>
      <c r="F9" s="86"/>
      <c r="G9" s="86"/>
    </row>
    <row r="10" spans="1:5" ht="24.75">
      <c r="A10" s="5" t="s">
        <v>11</v>
      </c>
      <c r="B10" s="4"/>
      <c r="C10" s="5"/>
      <c r="D10" s="7" t="b">
        <v>0</v>
      </c>
      <c r="E10" s="4"/>
    </row>
    <row r="11" spans="1:7" ht="15">
      <c r="A11" s="86"/>
      <c r="B11" s="86"/>
      <c r="C11" s="86"/>
      <c r="D11" s="86"/>
      <c r="E11" s="86"/>
      <c r="F11" s="86"/>
      <c r="G11" s="86"/>
    </row>
    <row r="12" spans="1:5" ht="15">
      <c r="A12" s="3" t="s">
        <v>12</v>
      </c>
      <c r="B12" s="4"/>
      <c r="C12" s="5"/>
      <c r="D12" s="5"/>
      <c r="E12" s="4"/>
    </row>
    <row r="13" spans="1:7" ht="15">
      <c r="A13" s="86"/>
      <c r="B13" s="86"/>
      <c r="C13" s="86"/>
      <c r="D13" s="86"/>
      <c r="E13" s="86"/>
      <c r="F13" s="86"/>
      <c r="G13" s="86"/>
    </row>
    <row r="14" spans="1:5" ht="25.5" thickBot="1">
      <c r="A14" s="5" t="s">
        <v>13</v>
      </c>
      <c r="B14" s="4" t="s">
        <v>14</v>
      </c>
      <c r="C14" s="5" t="s">
        <v>10</v>
      </c>
      <c r="D14" s="8">
        <v>5257.27</v>
      </c>
      <c r="E14" s="4"/>
    </row>
    <row r="15" spans="1:7" ht="15">
      <c r="A15" s="86"/>
      <c r="B15" s="86"/>
      <c r="C15" s="86"/>
      <c r="D15" s="86"/>
      <c r="E15" s="86"/>
      <c r="F15" s="86"/>
      <c r="G15" s="86"/>
    </row>
    <row r="16" spans="1:5" ht="15.75" thickBot="1">
      <c r="A16" s="5" t="s">
        <v>15</v>
      </c>
      <c r="B16" s="4" t="s">
        <v>16</v>
      </c>
      <c r="C16" s="5"/>
      <c r="D16" s="8">
        <v>14797.16</v>
      </c>
      <c r="E16" s="4"/>
    </row>
    <row r="17" spans="1:7" ht="15">
      <c r="A17" s="86"/>
      <c r="B17" s="86"/>
      <c r="C17" s="86"/>
      <c r="D17" s="86"/>
      <c r="E17" s="86"/>
      <c r="F17" s="86"/>
      <c r="G17" s="86"/>
    </row>
    <row r="18" spans="1:5" ht="25.5" thickBot="1">
      <c r="A18" s="5" t="s">
        <v>17</v>
      </c>
      <c r="B18" s="4" t="s">
        <v>18</v>
      </c>
      <c r="C18" s="5" t="s">
        <v>10</v>
      </c>
      <c r="D18" s="6">
        <v>77792665</v>
      </c>
      <c r="E18" s="4"/>
    </row>
    <row r="19" spans="1:7" ht="15">
      <c r="A19" s="86"/>
      <c r="B19" s="86"/>
      <c r="C19" s="86"/>
      <c r="D19" s="86"/>
      <c r="E19" s="86"/>
      <c r="F19" s="86"/>
      <c r="G19" s="86"/>
    </row>
    <row r="20" spans="1:5" ht="15.75" thickBot="1">
      <c r="A20" s="5" t="s">
        <v>19</v>
      </c>
      <c r="B20" s="4" t="s">
        <v>20</v>
      </c>
      <c r="C20" s="5" t="s">
        <v>10</v>
      </c>
      <c r="D20" s="9">
        <v>53.06</v>
      </c>
      <c r="E20" s="4"/>
    </row>
    <row r="21" spans="1:7" ht="15">
      <c r="A21" s="86"/>
      <c r="B21" s="86"/>
      <c r="C21" s="86"/>
      <c r="D21" s="86"/>
      <c r="E21" s="86"/>
      <c r="F21" s="86"/>
      <c r="G21" s="86"/>
    </row>
    <row r="22" spans="1:5" ht="15.75" thickBot="1">
      <c r="A22" s="5" t="s">
        <v>21</v>
      </c>
      <c r="B22" s="4" t="s">
        <v>22</v>
      </c>
      <c r="C22" s="5"/>
      <c r="D22" s="8">
        <v>14797.16</v>
      </c>
      <c r="E22" s="4"/>
    </row>
    <row r="23" spans="1:7" ht="15">
      <c r="A23" s="86"/>
      <c r="B23" s="86"/>
      <c r="C23" s="86"/>
      <c r="D23" s="86"/>
      <c r="E23" s="86"/>
      <c r="F23" s="86"/>
      <c r="G23" s="86"/>
    </row>
    <row r="24" spans="1:5" ht="15.75" thickBot="1">
      <c r="A24" s="5" t="s">
        <v>23</v>
      </c>
      <c r="B24" s="4" t="s">
        <v>24</v>
      </c>
      <c r="C24" s="5" t="s">
        <v>10</v>
      </c>
      <c r="D24" s="6">
        <v>785137</v>
      </c>
      <c r="E24" s="4"/>
    </row>
    <row r="25" spans="1:7" ht="15">
      <c r="A25" s="86"/>
      <c r="B25" s="86"/>
      <c r="C25" s="86"/>
      <c r="D25" s="86"/>
      <c r="E25" s="86"/>
      <c r="F25" s="86"/>
      <c r="G25" s="86"/>
    </row>
    <row r="26" spans="1:5" ht="25.5" thickBot="1">
      <c r="A26" s="5" t="s">
        <v>25</v>
      </c>
      <c r="B26" s="4" t="s">
        <v>26</v>
      </c>
      <c r="C26" s="5" t="s">
        <v>10</v>
      </c>
      <c r="D26" s="9">
        <v>0</v>
      </c>
      <c r="E26" s="4"/>
    </row>
    <row r="27" spans="1:7" ht="15">
      <c r="A27" s="86"/>
      <c r="B27" s="86"/>
      <c r="C27" s="86"/>
      <c r="D27" s="86"/>
      <c r="E27" s="86"/>
      <c r="F27" s="86"/>
      <c r="G27" s="86"/>
    </row>
    <row r="28" spans="1:5" ht="15.75" thickBot="1">
      <c r="A28" s="5" t="s">
        <v>27</v>
      </c>
      <c r="B28" s="4" t="s">
        <v>28</v>
      </c>
      <c r="C28" s="5" t="s">
        <v>10</v>
      </c>
      <c r="D28" s="6">
        <v>9818349</v>
      </c>
      <c r="E28" s="4"/>
    </row>
    <row r="29" spans="1:7" ht="15">
      <c r="A29" s="86"/>
      <c r="B29" s="86"/>
      <c r="C29" s="86"/>
      <c r="D29" s="86"/>
      <c r="E29" s="86"/>
      <c r="F29" s="86"/>
      <c r="G29" s="86"/>
    </row>
    <row r="30" spans="1:5" ht="25.5" thickBot="1">
      <c r="A30" s="5" t="s">
        <v>29</v>
      </c>
      <c r="B30" s="4" t="s">
        <v>30</v>
      </c>
      <c r="C30" s="5" t="s">
        <v>10</v>
      </c>
      <c r="D30" s="9">
        <v>0</v>
      </c>
      <c r="E30" s="4"/>
    </row>
    <row r="31" spans="1:7" ht="15">
      <c r="A31" s="86"/>
      <c r="B31" s="86"/>
      <c r="C31" s="86"/>
      <c r="D31" s="86"/>
      <c r="E31" s="86"/>
      <c r="F31" s="86"/>
      <c r="G31" s="86"/>
    </row>
    <row r="32" spans="1:5" ht="15.75" thickBot="1">
      <c r="A32" s="5" t="s">
        <v>31</v>
      </c>
      <c r="B32" s="4" t="s">
        <v>32</v>
      </c>
      <c r="C32" s="5" t="s">
        <v>10</v>
      </c>
      <c r="D32" s="9">
        <v>0</v>
      </c>
      <c r="E32" s="4"/>
    </row>
    <row r="33" spans="1:7" ht="15">
      <c r="A33" s="86"/>
      <c r="B33" s="86"/>
      <c r="C33" s="86"/>
      <c r="D33" s="86"/>
      <c r="E33" s="86"/>
      <c r="F33" s="86"/>
      <c r="G33" s="86"/>
    </row>
    <row r="34" spans="1:5" ht="25.5" thickBot="1">
      <c r="A34" s="5" t="s">
        <v>33</v>
      </c>
      <c r="B34" s="4" t="s">
        <v>34</v>
      </c>
      <c r="C34" s="5" t="s">
        <v>10</v>
      </c>
      <c r="D34" s="8">
        <v>2666.2</v>
      </c>
      <c r="E34" s="4"/>
    </row>
    <row r="35" spans="1:7" ht="15">
      <c r="A35" s="86"/>
      <c r="B35" s="86"/>
      <c r="C35" s="86"/>
      <c r="D35" s="86"/>
      <c r="E35" s="86"/>
      <c r="F35" s="86"/>
      <c r="G35" s="86"/>
    </row>
    <row r="36" spans="1:5" ht="25.5" thickBot="1">
      <c r="A36" s="5" t="s">
        <v>35</v>
      </c>
      <c r="B36" s="4" t="s">
        <v>36</v>
      </c>
      <c r="C36" s="5" t="s">
        <v>10</v>
      </c>
      <c r="D36" s="6">
        <v>39452188</v>
      </c>
      <c r="E36" s="4"/>
    </row>
    <row r="37" spans="1:7" ht="15">
      <c r="A37" s="86"/>
      <c r="B37" s="86"/>
      <c r="C37" s="86"/>
      <c r="D37" s="86"/>
      <c r="E37" s="86"/>
      <c r="F37" s="86"/>
      <c r="G37" s="86"/>
    </row>
    <row r="38" spans="1:5" ht="25.5" thickBot="1">
      <c r="A38" s="3" t="s">
        <v>37</v>
      </c>
      <c r="B38" s="4" t="s">
        <v>38</v>
      </c>
      <c r="C38" s="5" t="s">
        <v>10</v>
      </c>
      <c r="D38" s="6">
        <v>127848339</v>
      </c>
      <c r="E38" s="4"/>
    </row>
    <row r="39" spans="1:7" ht="15">
      <c r="A39" s="86"/>
      <c r="B39" s="86"/>
      <c r="C39" s="86"/>
      <c r="D39" s="86"/>
      <c r="E39" s="86"/>
      <c r="F39" s="86"/>
      <c r="G39" s="86"/>
    </row>
    <row r="40" spans="1:5" ht="15">
      <c r="A40" s="3" t="s">
        <v>39</v>
      </c>
      <c r="B40" s="4"/>
      <c r="C40" s="5"/>
      <c r="D40" s="5"/>
      <c r="E40" s="4"/>
    </row>
    <row r="41" spans="1:7" ht="15">
      <c r="A41" s="86"/>
      <c r="B41" s="86"/>
      <c r="C41" s="86"/>
      <c r="D41" s="86"/>
      <c r="E41" s="86"/>
      <c r="F41" s="86"/>
      <c r="G41" s="86"/>
    </row>
    <row r="42" spans="1:5" ht="25.5" thickBot="1">
      <c r="A42" s="5" t="s">
        <v>40</v>
      </c>
      <c r="B42" s="4" t="s">
        <v>41</v>
      </c>
      <c r="C42" s="5" t="s">
        <v>10</v>
      </c>
      <c r="D42" s="6">
        <v>8864831</v>
      </c>
      <c r="E42" s="4"/>
    </row>
    <row r="43" spans="1:7" ht="15">
      <c r="A43" s="86"/>
      <c r="B43" s="86"/>
      <c r="C43" s="86"/>
      <c r="D43" s="86"/>
      <c r="E43" s="86"/>
      <c r="F43" s="86"/>
      <c r="G43" s="86"/>
    </row>
    <row r="44" spans="1:5" ht="15.75" thickBot="1">
      <c r="A44" s="5" t="s">
        <v>42</v>
      </c>
      <c r="B44" s="4" t="s">
        <v>43</v>
      </c>
      <c r="C44" s="5"/>
      <c r="D44" s="9">
        <v>1</v>
      </c>
      <c r="E44" s="4"/>
    </row>
    <row r="45" spans="1:7" ht="15">
      <c r="A45" s="86"/>
      <c r="B45" s="86"/>
      <c r="C45" s="86"/>
      <c r="D45" s="86"/>
      <c r="E45" s="86"/>
      <c r="F45" s="86"/>
      <c r="G45" s="86"/>
    </row>
    <row r="46" spans="1:5" ht="15.75" thickBot="1">
      <c r="A46" s="3" t="s">
        <v>44</v>
      </c>
      <c r="B46" s="4" t="s">
        <v>45</v>
      </c>
      <c r="C46" s="5" t="s">
        <v>10</v>
      </c>
      <c r="D46" s="6">
        <v>8864831</v>
      </c>
      <c r="E46" s="4"/>
    </row>
    <row r="47" spans="1:7" ht="15">
      <c r="A47" s="86"/>
      <c r="B47" s="86"/>
      <c r="C47" s="86"/>
      <c r="D47" s="86"/>
      <c r="E47" s="86"/>
      <c r="F47" s="86"/>
      <c r="G47" s="86"/>
    </row>
    <row r="48" spans="1:5" ht="15.75" thickBot="1">
      <c r="A48" s="3" t="s">
        <v>46</v>
      </c>
      <c r="B48" s="4" t="s">
        <v>47</v>
      </c>
      <c r="C48" s="5" t="s">
        <v>10</v>
      </c>
      <c r="D48" s="9">
        <v>0</v>
      </c>
      <c r="E48" s="4"/>
    </row>
    <row r="49" spans="1:7" ht="15">
      <c r="A49" s="86"/>
      <c r="B49" s="86"/>
      <c r="C49" s="86"/>
      <c r="D49" s="86"/>
      <c r="E49" s="86"/>
      <c r="F49" s="86"/>
      <c r="G49" s="86"/>
    </row>
    <row r="50" spans="1:5" ht="15.75" thickBot="1">
      <c r="A50" s="5" t="s">
        <v>48</v>
      </c>
      <c r="B50" s="4" t="s">
        <v>49</v>
      </c>
      <c r="C50" s="5" t="s">
        <v>10</v>
      </c>
      <c r="D50" s="9">
        <v>0</v>
      </c>
      <c r="E50" s="4"/>
    </row>
    <row r="51" spans="1:7" ht="15">
      <c r="A51" s="86"/>
      <c r="B51" s="86"/>
      <c r="C51" s="86"/>
      <c r="D51" s="86"/>
      <c r="E51" s="86"/>
      <c r="F51" s="86"/>
      <c r="G51" s="86"/>
    </row>
    <row r="52" spans="1:5" ht="15">
      <c r="A52" s="3" t="s">
        <v>50</v>
      </c>
      <c r="B52" s="4"/>
      <c r="C52" s="5"/>
      <c r="D52" s="5"/>
      <c r="E52" s="4"/>
    </row>
    <row r="53" spans="1:7" ht="15.75" thickBot="1">
      <c r="A53" s="86"/>
      <c r="B53" s="86"/>
      <c r="C53" s="86"/>
      <c r="D53" s="86"/>
      <c r="E53" s="86"/>
      <c r="F53" s="86"/>
      <c r="G53" s="86"/>
    </row>
    <row r="54" spans="1:9" ht="31.5" customHeight="1" thickBot="1">
      <c r="A54" s="10" t="s">
        <v>51</v>
      </c>
      <c r="B54" s="11" t="s">
        <v>52</v>
      </c>
      <c r="C54" s="12" t="s">
        <v>10</v>
      </c>
      <c r="D54" s="13">
        <v>136713170</v>
      </c>
      <c r="E54" s="4"/>
      <c r="F54" s="32" t="s">
        <v>91</v>
      </c>
      <c r="G54" s="33"/>
      <c r="H54" s="33"/>
      <c r="I54" s="34"/>
    </row>
    <row r="55" spans="1:9" s="19" customFormat="1" ht="15">
      <c r="A55" s="18"/>
      <c r="B55" s="18"/>
      <c r="C55" s="18"/>
      <c r="D55" s="18"/>
      <c r="E55" s="18"/>
      <c r="F55" s="21" t="s">
        <v>87</v>
      </c>
      <c r="G55" s="35">
        <f>+D54</f>
        <v>136713170</v>
      </c>
      <c r="H55" s="22"/>
      <c r="I55" s="23"/>
    </row>
    <row r="56" spans="1:9" ht="15.75" thickBot="1">
      <c r="A56" s="15" t="s">
        <v>53</v>
      </c>
      <c r="B56" s="16" t="s">
        <v>54</v>
      </c>
      <c r="C56" s="15" t="s">
        <v>10</v>
      </c>
      <c r="D56" s="17">
        <v>210837015</v>
      </c>
      <c r="E56" s="14"/>
      <c r="F56" s="24" t="s">
        <v>88</v>
      </c>
      <c r="G56" s="25">
        <f>-D56</f>
        <v>-210837015</v>
      </c>
      <c r="H56" s="26"/>
      <c r="I56" s="27"/>
    </row>
    <row r="57" spans="1:9" ht="15">
      <c r="A57" s="2"/>
      <c r="B57" s="2"/>
      <c r="C57" s="2"/>
      <c r="D57" s="2"/>
      <c r="E57" s="2"/>
      <c r="F57" s="28" t="s">
        <v>89</v>
      </c>
      <c r="G57" s="20">
        <f>-D84</f>
        <v>-9818349</v>
      </c>
      <c r="H57" s="26"/>
      <c r="I57" s="27"/>
    </row>
    <row r="58" spans="1:9" ht="15.75" thickBot="1">
      <c r="A58" s="5" t="s">
        <v>55</v>
      </c>
      <c r="B58" s="4" t="s">
        <v>56</v>
      </c>
      <c r="C58" s="5" t="s">
        <v>10</v>
      </c>
      <c r="D58" s="9">
        <v>0</v>
      </c>
      <c r="E58" s="4"/>
      <c r="F58" s="29"/>
      <c r="G58" s="36">
        <f>SUM(G55:G57)</f>
        <v>-83942194</v>
      </c>
      <c r="H58" s="30" t="s">
        <v>90</v>
      </c>
      <c r="I58" s="31"/>
    </row>
    <row r="59" spans="1:7" ht="15">
      <c r="A59" s="86"/>
      <c r="B59" s="86"/>
      <c r="C59" s="86"/>
      <c r="D59" s="86"/>
      <c r="E59" s="86"/>
      <c r="F59" s="86"/>
      <c r="G59" s="86"/>
    </row>
    <row r="60" spans="1:5" ht="37.5" thickBot="1">
      <c r="A60" s="5" t="s">
        <v>57</v>
      </c>
      <c r="B60" s="4" t="s">
        <v>58</v>
      </c>
      <c r="C60" s="5" t="s">
        <v>10</v>
      </c>
      <c r="D60" s="6">
        <v>-74123845</v>
      </c>
      <c r="E60" s="4"/>
    </row>
    <row r="61" spans="1:7" ht="15">
      <c r="A61" s="86"/>
      <c r="B61" s="86"/>
      <c r="C61" s="86"/>
      <c r="D61" s="86"/>
      <c r="E61" s="86"/>
      <c r="F61" s="86"/>
      <c r="G61" s="86"/>
    </row>
    <row r="62" spans="1:5" ht="15.75" thickBot="1">
      <c r="A62" s="5" t="s">
        <v>59</v>
      </c>
      <c r="B62" s="4" t="s">
        <v>60</v>
      </c>
      <c r="C62" s="5" t="s">
        <v>10</v>
      </c>
      <c r="D62" s="6">
        <v>2959432</v>
      </c>
      <c r="E62" s="4"/>
    </row>
    <row r="63" spans="1:7" ht="15">
      <c r="A63" s="86"/>
      <c r="B63" s="86"/>
      <c r="C63" s="86"/>
      <c r="D63" s="86"/>
      <c r="E63" s="86"/>
      <c r="F63" s="86"/>
      <c r="G63" s="86"/>
    </row>
    <row r="64" spans="1:5" ht="15.75" thickBot="1">
      <c r="A64" s="3" t="s">
        <v>61</v>
      </c>
      <c r="B64" s="4" t="s">
        <v>62</v>
      </c>
      <c r="C64" s="5" t="s">
        <v>10</v>
      </c>
      <c r="D64" s="9">
        <v>0</v>
      </c>
      <c r="E64" s="4"/>
    </row>
    <row r="65" spans="1:7" ht="15">
      <c r="A65" s="86"/>
      <c r="B65" s="86"/>
      <c r="C65" s="86"/>
      <c r="D65" s="86"/>
      <c r="E65" s="86"/>
      <c r="F65" s="86"/>
      <c r="G65" s="86"/>
    </row>
    <row r="66" spans="1:5" ht="15">
      <c r="A66" s="3" t="s">
        <v>63</v>
      </c>
      <c r="B66" s="4"/>
      <c r="C66" s="5"/>
      <c r="D66" s="5"/>
      <c r="E66" s="4"/>
    </row>
    <row r="67" spans="1:7" ht="15">
      <c r="A67" s="86"/>
      <c r="B67" s="86"/>
      <c r="C67" s="86"/>
      <c r="D67" s="86"/>
      <c r="E67" s="86"/>
      <c r="F67" s="86"/>
      <c r="G67" s="86"/>
    </row>
    <row r="68" spans="1:5" ht="25.5" thickBot="1">
      <c r="A68" s="5" t="s">
        <v>64</v>
      </c>
      <c r="B68" s="4" t="s">
        <v>65</v>
      </c>
      <c r="C68" s="5" t="s">
        <v>10</v>
      </c>
      <c r="D68" s="8">
        <v>5310.33</v>
      </c>
      <c r="E68" s="4"/>
    </row>
    <row r="69" spans="1:7" ht="15">
      <c r="A69" s="86"/>
      <c r="B69" s="86"/>
      <c r="C69" s="86"/>
      <c r="D69" s="86"/>
      <c r="E69" s="86"/>
      <c r="F69" s="86"/>
      <c r="G69" s="86"/>
    </row>
    <row r="70" spans="1:5" ht="15.75" thickBot="1">
      <c r="A70" s="5" t="s">
        <v>21</v>
      </c>
      <c r="B70" s="4" t="s">
        <v>66</v>
      </c>
      <c r="C70" s="5"/>
      <c r="D70" s="8">
        <v>14797.16</v>
      </c>
      <c r="E70" s="4"/>
    </row>
    <row r="71" spans="1:7" ht="15">
      <c r="A71" s="86"/>
      <c r="B71" s="86"/>
      <c r="C71" s="86"/>
      <c r="D71" s="86"/>
      <c r="E71" s="86"/>
      <c r="F71" s="86"/>
      <c r="G71" s="86"/>
    </row>
    <row r="72" spans="1:5" ht="15.75" thickBot="1">
      <c r="A72" s="5" t="s">
        <v>67</v>
      </c>
      <c r="B72" s="4" t="s">
        <v>68</v>
      </c>
      <c r="C72" s="5" t="s">
        <v>10</v>
      </c>
      <c r="D72" s="6">
        <v>78577803</v>
      </c>
      <c r="E72" s="4"/>
    </row>
    <row r="73" spans="1:7" ht="15">
      <c r="A73" s="86"/>
      <c r="B73" s="86"/>
      <c r="C73" s="86"/>
      <c r="D73" s="86"/>
      <c r="E73" s="86"/>
      <c r="F73" s="86"/>
      <c r="G73" s="86"/>
    </row>
    <row r="74" spans="1:5" ht="25.5" thickBot="1">
      <c r="A74" s="5" t="s">
        <v>69</v>
      </c>
      <c r="B74" s="4" t="s">
        <v>70</v>
      </c>
      <c r="C74" s="5" t="s">
        <v>10</v>
      </c>
      <c r="D74" s="9">
        <v>0</v>
      </c>
      <c r="E74" s="4"/>
    </row>
    <row r="75" spans="1:7" ht="15">
      <c r="A75" s="86"/>
      <c r="B75" s="86"/>
      <c r="C75" s="86"/>
      <c r="D75" s="86"/>
      <c r="E75" s="86"/>
      <c r="F75" s="86"/>
      <c r="G75" s="86"/>
    </row>
    <row r="76" spans="1:5" ht="15.75" thickBot="1">
      <c r="A76" s="5" t="s">
        <v>71</v>
      </c>
      <c r="B76" s="4" t="s">
        <v>72</v>
      </c>
      <c r="C76" s="5" t="s">
        <v>10</v>
      </c>
      <c r="D76" s="9">
        <v>0</v>
      </c>
      <c r="E76" s="4"/>
    </row>
    <row r="77" spans="1:7" ht="15">
      <c r="A77" s="86"/>
      <c r="B77" s="86"/>
      <c r="C77" s="86"/>
      <c r="D77" s="86"/>
      <c r="E77" s="86"/>
      <c r="F77" s="86"/>
      <c r="G77" s="86"/>
    </row>
    <row r="78" spans="1:5" ht="15.75" thickBot="1">
      <c r="A78" s="5" t="s">
        <v>73</v>
      </c>
      <c r="B78" s="4" t="s">
        <v>74</v>
      </c>
      <c r="C78" s="5" t="s">
        <v>10</v>
      </c>
      <c r="D78" s="6">
        <v>210837015</v>
      </c>
      <c r="E78" s="4"/>
    </row>
    <row r="79" spans="1:7" ht="15">
      <c r="A79" s="86"/>
      <c r="B79" s="86"/>
      <c r="C79" s="86"/>
      <c r="D79" s="86"/>
      <c r="E79" s="86"/>
      <c r="F79" s="86"/>
      <c r="G79" s="86"/>
    </row>
    <row r="80" spans="1:5" ht="25.5" thickBot="1">
      <c r="A80" s="5" t="s">
        <v>75</v>
      </c>
      <c r="B80" s="4" t="s">
        <v>76</v>
      </c>
      <c r="C80" s="5" t="s">
        <v>10</v>
      </c>
      <c r="D80" s="6">
        <v>2959432</v>
      </c>
      <c r="E80" s="4"/>
    </row>
    <row r="81" spans="1:7" ht="15">
      <c r="A81" s="86"/>
      <c r="B81" s="86"/>
      <c r="C81" s="86"/>
      <c r="D81" s="86"/>
      <c r="E81" s="86"/>
      <c r="F81" s="86"/>
      <c r="G81" s="86"/>
    </row>
    <row r="82" spans="1:5" ht="25.5" thickBot="1">
      <c r="A82" s="5" t="s">
        <v>77</v>
      </c>
      <c r="B82" s="4" t="s">
        <v>78</v>
      </c>
      <c r="C82" s="5" t="s">
        <v>10</v>
      </c>
      <c r="D82" s="9">
        <v>0</v>
      </c>
      <c r="E82" s="4"/>
    </row>
    <row r="83" spans="1:7" ht="15">
      <c r="A83" s="86"/>
      <c r="B83" s="86"/>
      <c r="C83" s="86"/>
      <c r="D83" s="86"/>
      <c r="E83" s="86"/>
      <c r="F83" s="86"/>
      <c r="G83" s="86"/>
    </row>
    <row r="84" spans="1:5" ht="15.75" thickBot="1">
      <c r="A84" s="12" t="s">
        <v>79</v>
      </c>
      <c r="B84" s="11" t="s">
        <v>80</v>
      </c>
      <c r="C84" s="12" t="s">
        <v>10</v>
      </c>
      <c r="D84" s="13">
        <v>9818349</v>
      </c>
      <c r="E84" s="4"/>
    </row>
    <row r="85" spans="1:7" ht="15">
      <c r="A85" s="86"/>
      <c r="B85" s="86"/>
      <c r="C85" s="86"/>
      <c r="D85" s="86"/>
      <c r="E85" s="86"/>
      <c r="F85" s="86"/>
      <c r="G85" s="86"/>
    </row>
    <row r="86" spans="1:5" ht="15.75" thickBot="1">
      <c r="A86" s="5" t="s">
        <v>81</v>
      </c>
      <c r="B86" s="4" t="s">
        <v>82</v>
      </c>
      <c r="C86" s="5" t="s">
        <v>10</v>
      </c>
      <c r="D86" s="6">
        <v>9818349</v>
      </c>
      <c r="E86" s="4"/>
    </row>
    <row r="87" spans="1:7" ht="15">
      <c r="A87" s="86"/>
      <c r="B87" s="86"/>
      <c r="C87" s="86"/>
      <c r="D87" s="86"/>
      <c r="E87" s="86"/>
      <c r="F87" s="86"/>
      <c r="G87" s="86"/>
    </row>
    <row r="88" spans="1:5" ht="25.5" thickBot="1">
      <c r="A88" s="3" t="s">
        <v>83</v>
      </c>
      <c r="B88" s="4" t="s">
        <v>84</v>
      </c>
      <c r="C88" s="5" t="s">
        <v>10</v>
      </c>
      <c r="D88" s="6">
        <v>9818349</v>
      </c>
      <c r="E88" s="4"/>
    </row>
    <row r="89" spans="1:7" ht="15">
      <c r="A89" s="86"/>
      <c r="B89" s="86"/>
      <c r="C89" s="86"/>
      <c r="D89" s="86"/>
      <c r="E89" s="86"/>
      <c r="F89" s="86"/>
      <c r="G89" s="86"/>
    </row>
    <row r="90" spans="1:5" ht="25.5" thickBot="1">
      <c r="A90" s="3" t="s">
        <v>85</v>
      </c>
      <c r="B90" s="4" t="s">
        <v>86</v>
      </c>
      <c r="C90" s="5" t="s">
        <v>10</v>
      </c>
      <c r="D90" s="6">
        <v>9818349</v>
      </c>
      <c r="E90" s="4"/>
    </row>
    <row r="91" spans="1:7" ht="15">
      <c r="A91" s="86"/>
      <c r="B91" s="86"/>
      <c r="C91" s="86"/>
      <c r="D91" s="86"/>
      <c r="E91" s="86"/>
      <c r="F91" s="86"/>
      <c r="G91" s="86"/>
    </row>
  </sheetData>
  <sheetProtection/>
  <mergeCells count="43">
    <mergeCell ref="A25:G25"/>
    <mergeCell ref="A1:E2"/>
    <mergeCell ref="A5:E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49:G49"/>
    <mergeCell ref="A27:G27"/>
    <mergeCell ref="A29:G29"/>
    <mergeCell ref="A31:G31"/>
    <mergeCell ref="A33:G33"/>
    <mergeCell ref="A35:G35"/>
    <mergeCell ref="A37:G37"/>
    <mergeCell ref="A39:G39"/>
    <mergeCell ref="A41:G41"/>
    <mergeCell ref="A43:G43"/>
    <mergeCell ref="A45:G45"/>
    <mergeCell ref="A47:G47"/>
    <mergeCell ref="A73:G73"/>
    <mergeCell ref="A51:G51"/>
    <mergeCell ref="A53:G53"/>
    <mergeCell ref="A59:G59"/>
    <mergeCell ref="A61:G61"/>
    <mergeCell ref="A63:G63"/>
    <mergeCell ref="A65:G65"/>
    <mergeCell ref="A67:G67"/>
    <mergeCell ref="A69:G69"/>
    <mergeCell ref="A71:G71"/>
    <mergeCell ref="A87:G87"/>
    <mergeCell ref="A89:G89"/>
    <mergeCell ref="A91:G91"/>
    <mergeCell ref="A75:G75"/>
    <mergeCell ref="A77:G77"/>
    <mergeCell ref="A79:G79"/>
    <mergeCell ref="A81:G81"/>
    <mergeCell ref="A83:G83"/>
    <mergeCell ref="A85:G8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41"/>
  <sheetViews>
    <sheetView zoomScale="130" zoomScaleNormal="130" zoomScalePageLayoutView="0" workbookViewId="0" topLeftCell="A1">
      <pane xSplit="3" ySplit="9" topLeftCell="D42" activePane="bottomRight" state="frozen"/>
      <selection pane="topLeft" activeCell="C1" sqref="C1"/>
      <selection pane="topRight" activeCell="D1" sqref="D1"/>
      <selection pane="bottomLeft" activeCell="C10" sqref="C10"/>
      <selection pane="bottomRight" activeCell="X57" sqref="X57"/>
    </sheetView>
  </sheetViews>
  <sheetFormatPr defaultColWidth="9.28125" defaultRowHeight="13.5" customHeight="1"/>
  <cols>
    <col min="1" max="1" width="7.28125" style="37" hidden="1" customWidth="1"/>
    <col min="2" max="2" width="26.28125" style="38" customWidth="1"/>
    <col min="3" max="3" width="14.28125" style="48" hidden="1" customWidth="1"/>
    <col min="4" max="4" width="14.7109375" style="38" hidden="1" customWidth="1"/>
    <col min="5" max="5" width="10.7109375" style="38" hidden="1" customWidth="1"/>
    <col min="6" max="6" width="13.7109375" style="38" hidden="1" customWidth="1"/>
    <col min="7" max="7" width="13.421875" style="38" hidden="1" customWidth="1"/>
    <col min="8" max="8" width="14.421875" style="38" hidden="1" customWidth="1"/>
    <col min="9" max="9" width="12.7109375" style="38" hidden="1" customWidth="1"/>
    <col min="10" max="10" width="12.421875" style="38" hidden="1" customWidth="1"/>
    <col min="11" max="11" width="14.421875" style="38" customWidth="1"/>
    <col min="12" max="12" width="9.57421875" style="38" hidden="1" customWidth="1"/>
    <col min="13" max="13" width="14.00390625" style="38" hidden="1" customWidth="1"/>
    <col min="14" max="14" width="12.7109375" style="38" customWidth="1"/>
    <col min="15" max="15" width="13.7109375" style="38" hidden="1" customWidth="1"/>
    <col min="16" max="16" width="11.7109375" style="38" customWidth="1"/>
    <col min="17" max="17" width="7.57421875" style="38" customWidth="1"/>
    <col min="18" max="18" width="12.28125" style="38" customWidth="1"/>
    <col min="19" max="19" width="8.421875" style="38" customWidth="1"/>
    <col min="20" max="20" width="7.421875" style="38" hidden="1" customWidth="1"/>
    <col min="21" max="22" width="12.7109375" style="38" hidden="1" customWidth="1"/>
    <col min="23" max="23" width="14.57421875" style="38" customWidth="1"/>
    <col min="24" max="24" width="11.7109375" style="40" customWidth="1"/>
    <col min="25" max="25" width="13.7109375" style="38" customWidth="1"/>
    <col min="26" max="26" width="12.28125" style="38" customWidth="1"/>
    <col min="27" max="27" width="13.28125" style="38" customWidth="1"/>
    <col min="28" max="28" width="12.7109375" style="38" customWidth="1"/>
    <col min="29" max="29" width="12.57421875" style="38" customWidth="1"/>
    <col min="30" max="16384" width="9.28125" style="38" customWidth="1"/>
  </cols>
  <sheetData>
    <row r="2" ht="13.5" customHeight="1">
      <c r="L2" s="37" t="s">
        <v>92</v>
      </c>
    </row>
    <row r="3" ht="13.5" customHeight="1">
      <c r="L3" s="37" t="s">
        <v>93</v>
      </c>
    </row>
    <row r="5" spans="12:28" ht="13.5" customHeight="1">
      <c r="L5" s="49" t="s">
        <v>94</v>
      </c>
      <c r="Z5" s="38" t="s">
        <v>95</v>
      </c>
      <c r="AA5" s="49" t="s">
        <v>96</v>
      </c>
      <c r="AB5" s="49" t="s">
        <v>97</v>
      </c>
    </row>
    <row r="6" spans="1:28" s="83" customFormat="1" ht="13.5" customHeight="1">
      <c r="A6" s="82"/>
      <c r="B6" s="85" t="s">
        <v>216</v>
      </c>
      <c r="C6" s="84"/>
      <c r="D6" s="82"/>
      <c r="E6" s="82"/>
      <c r="F6" s="82"/>
      <c r="K6" s="83">
        <v>8041</v>
      </c>
      <c r="N6" s="83">
        <v>8042</v>
      </c>
      <c r="P6" s="83">
        <v>8021</v>
      </c>
      <c r="Q6" s="83">
        <v>8022</v>
      </c>
      <c r="R6" s="83">
        <v>8044</v>
      </c>
      <c r="S6" s="83">
        <v>8043</v>
      </c>
      <c r="X6" s="83">
        <v>8045</v>
      </c>
      <c r="Z6" s="83">
        <v>8047</v>
      </c>
      <c r="AA6" s="83">
        <v>8047</v>
      </c>
      <c r="AB6" s="83">
        <v>8047</v>
      </c>
    </row>
    <row r="7" spans="1:28" ht="13.5" customHeight="1">
      <c r="A7" s="50" t="s">
        <v>98</v>
      </c>
      <c r="B7" s="50"/>
      <c r="C7" s="51" t="s">
        <v>99</v>
      </c>
      <c r="D7" s="50" t="s">
        <v>100</v>
      </c>
      <c r="E7" s="52" t="s">
        <v>101</v>
      </c>
      <c r="F7" s="52" t="s">
        <v>102</v>
      </c>
      <c r="G7" s="50" t="s">
        <v>103</v>
      </c>
      <c r="H7" s="50" t="s">
        <v>104</v>
      </c>
      <c r="I7" s="50" t="s">
        <v>105</v>
      </c>
      <c r="J7" s="53" t="s">
        <v>99</v>
      </c>
      <c r="K7" s="50" t="s">
        <v>106</v>
      </c>
      <c r="L7" s="50" t="s">
        <v>107</v>
      </c>
      <c r="M7" s="50"/>
      <c r="N7" s="50" t="s">
        <v>108</v>
      </c>
      <c r="O7" s="50" t="s">
        <v>109</v>
      </c>
      <c r="P7" s="50" t="s">
        <v>100</v>
      </c>
      <c r="Q7" s="50" t="s">
        <v>110</v>
      </c>
      <c r="R7" s="50" t="s">
        <v>105</v>
      </c>
      <c r="S7" s="50" t="s">
        <v>111</v>
      </c>
      <c r="T7" s="50" t="s">
        <v>112</v>
      </c>
      <c r="U7" s="50" t="s">
        <v>113</v>
      </c>
      <c r="V7" s="50" t="s">
        <v>113</v>
      </c>
      <c r="W7" s="50" t="s">
        <v>114</v>
      </c>
      <c r="X7" s="50" t="s">
        <v>115</v>
      </c>
      <c r="Y7" s="50"/>
      <c r="Z7" s="50" t="s">
        <v>116</v>
      </c>
      <c r="AA7" s="52" t="s">
        <v>117</v>
      </c>
      <c r="AB7" s="50" t="s">
        <v>118</v>
      </c>
    </row>
    <row r="8" spans="1:28" ht="41.25" customHeight="1">
      <c r="A8" s="54" t="s">
        <v>119</v>
      </c>
      <c r="B8" s="55" t="s">
        <v>120</v>
      </c>
      <c r="C8" s="56" t="s">
        <v>121</v>
      </c>
      <c r="D8" s="54" t="s">
        <v>122</v>
      </c>
      <c r="E8" s="57" t="s">
        <v>123</v>
      </c>
      <c r="F8" s="57" t="s">
        <v>124</v>
      </c>
      <c r="G8" s="58" t="s">
        <v>101</v>
      </c>
      <c r="H8" s="57" t="s">
        <v>103</v>
      </c>
      <c r="I8" s="54" t="s">
        <v>125</v>
      </c>
      <c r="J8" s="54" t="s">
        <v>117</v>
      </c>
      <c r="K8" s="54" t="s">
        <v>101</v>
      </c>
      <c r="L8" s="59" t="s">
        <v>126</v>
      </c>
      <c r="M8" s="59" t="s">
        <v>127</v>
      </c>
      <c r="N8" s="54" t="s">
        <v>128</v>
      </c>
      <c r="O8" s="54" t="s">
        <v>129</v>
      </c>
      <c r="P8" s="54" t="s">
        <v>130</v>
      </c>
      <c r="Q8" s="54" t="s">
        <v>131</v>
      </c>
      <c r="R8" s="59" t="s">
        <v>132</v>
      </c>
      <c r="S8" s="54" t="s">
        <v>133</v>
      </c>
      <c r="T8" s="54" t="s">
        <v>134</v>
      </c>
      <c r="U8" s="54"/>
      <c r="V8" s="57" t="s">
        <v>135</v>
      </c>
      <c r="W8" s="54" t="s">
        <v>136</v>
      </c>
      <c r="X8" s="60" t="s">
        <v>137</v>
      </c>
      <c r="Y8" s="54" t="s">
        <v>108</v>
      </c>
      <c r="Z8" s="57" t="s">
        <v>117</v>
      </c>
      <c r="AA8" s="57" t="s">
        <v>138</v>
      </c>
      <c r="AB8" s="57" t="s">
        <v>139</v>
      </c>
    </row>
    <row r="9" spans="1:28" ht="13.5" customHeight="1">
      <c r="A9" s="61" t="s">
        <v>140</v>
      </c>
      <c r="B9" s="61"/>
      <c r="C9" s="62" t="s">
        <v>141</v>
      </c>
      <c r="D9" s="63">
        <f>452710249688*0.01</f>
        <v>4527102496.88</v>
      </c>
      <c r="E9" s="63" t="s">
        <v>142</v>
      </c>
      <c r="F9" s="64" t="s">
        <v>142</v>
      </c>
      <c r="G9" s="63">
        <v>-40000000</v>
      </c>
      <c r="H9" s="64" t="s">
        <v>101</v>
      </c>
      <c r="I9" s="65" t="s">
        <v>143</v>
      </c>
      <c r="J9" s="61" t="s">
        <v>144</v>
      </c>
      <c r="K9" s="65" t="s">
        <v>145</v>
      </c>
      <c r="L9" s="65" t="s">
        <v>146</v>
      </c>
      <c r="M9" s="63"/>
      <c r="N9" s="65" t="s">
        <v>147</v>
      </c>
      <c r="O9" s="61" t="s">
        <v>148</v>
      </c>
      <c r="P9" s="63"/>
      <c r="Q9" s="61"/>
      <c r="R9" s="66">
        <f>1</f>
        <v>1</v>
      </c>
      <c r="S9" s="61" t="s">
        <v>149</v>
      </c>
      <c r="T9" s="61" t="s">
        <v>150</v>
      </c>
      <c r="U9" s="61" t="s">
        <v>151</v>
      </c>
      <c r="V9" s="65" t="s">
        <v>134</v>
      </c>
      <c r="W9" s="61" t="s">
        <v>152</v>
      </c>
      <c r="X9" s="63">
        <v>37167000</v>
      </c>
      <c r="Y9" s="61" t="s">
        <v>153</v>
      </c>
      <c r="Z9" s="65" t="s">
        <v>154</v>
      </c>
      <c r="AA9" s="65" t="s">
        <v>155</v>
      </c>
      <c r="AB9" s="65"/>
    </row>
    <row r="10" spans="3:28" s="37" customFormat="1" ht="13.5" customHeight="1">
      <c r="C10" s="67"/>
      <c r="D10" s="49" t="s">
        <v>156</v>
      </c>
      <c r="E10" s="49" t="s">
        <v>157</v>
      </c>
      <c r="F10" s="49" t="s">
        <v>158</v>
      </c>
      <c r="G10" s="37" t="s">
        <v>159</v>
      </c>
      <c r="H10" s="49" t="s">
        <v>160</v>
      </c>
      <c r="I10" s="37" t="s">
        <v>161</v>
      </c>
      <c r="J10" s="37" t="s">
        <v>162</v>
      </c>
      <c r="K10" s="68" t="s">
        <v>163</v>
      </c>
      <c r="L10" s="37" t="s">
        <v>164</v>
      </c>
      <c r="M10" s="37" t="s">
        <v>165</v>
      </c>
      <c r="N10" s="68" t="s">
        <v>166</v>
      </c>
      <c r="O10" s="37" t="s">
        <v>167</v>
      </c>
      <c r="P10" s="37" t="s">
        <v>168</v>
      </c>
      <c r="Q10" s="37" t="s">
        <v>169</v>
      </c>
      <c r="R10" s="37" t="s">
        <v>170</v>
      </c>
      <c r="S10" s="37" t="s">
        <v>171</v>
      </c>
      <c r="W10" s="50" t="s">
        <v>172</v>
      </c>
      <c r="X10" s="69" t="s">
        <v>173</v>
      </c>
      <c r="Y10" s="50" t="s">
        <v>174</v>
      </c>
      <c r="Z10" s="50" t="s">
        <v>175</v>
      </c>
      <c r="AA10" s="50" t="s">
        <v>176</v>
      </c>
      <c r="AB10" s="52" t="s">
        <v>177</v>
      </c>
    </row>
    <row r="11" spans="1:31" ht="13.5" customHeight="1">
      <c r="A11" s="37">
        <v>4041</v>
      </c>
      <c r="B11" s="38" t="s">
        <v>178</v>
      </c>
      <c r="C11" s="39">
        <v>0.0056143228357511295</v>
      </c>
      <c r="D11" s="40">
        <f>ROUND($D$9*C11,0)</f>
        <v>25416615</v>
      </c>
      <c r="E11" s="40">
        <f>'[1]1% Teeter Adj'!$I25</f>
        <v>4771.820000000001</v>
      </c>
      <c r="F11" s="40">
        <f>D11+E11</f>
        <v>25421386.82</v>
      </c>
      <c r="G11" s="40">
        <f>ROUND($G$9*C11,0)</f>
        <v>-224573</v>
      </c>
      <c r="H11" s="40">
        <f>'[2]FY2018 RDA Roll Corr SEC'!$D54</f>
        <v>33060.35</v>
      </c>
      <c r="I11" s="40">
        <f>'[3]2018-19 Unitary 1% Tax'!$G$23</f>
        <v>342779</v>
      </c>
      <c r="J11" s="40"/>
      <c r="K11" s="41">
        <f>ROUND(SUM(F11:J11),-3)</f>
        <v>25573000</v>
      </c>
      <c r="L11" s="40">
        <f>29890.85+7936.26</f>
        <v>37827.11</v>
      </c>
      <c r="M11" s="40">
        <f>1531745.92+206637.33</f>
        <v>1738383.25</v>
      </c>
      <c r="N11" s="41">
        <f aca="true" t="shared" si="0" ref="N11:N31">SUM(L11:M11)</f>
        <v>1776210.36</v>
      </c>
      <c r="O11" s="40">
        <f aca="true" t="shared" si="1" ref="O11:O31">+K11+N11</f>
        <v>27349210.36</v>
      </c>
      <c r="P11" s="40">
        <f>54632.47*2</f>
        <v>109264.94</v>
      </c>
      <c r="Q11" s="40"/>
      <c r="R11" s="40">
        <f>'[3]Supplemental '!V81</f>
        <v>4588000</v>
      </c>
      <c r="S11" s="40">
        <v>0</v>
      </c>
      <c r="T11" s="40"/>
      <c r="U11" s="40"/>
      <c r="V11" s="40"/>
      <c r="W11" s="42">
        <f aca="true" t="shared" si="2" ref="W11:W31">ROUND(SUM(O11:S11),0)</f>
        <v>32046475</v>
      </c>
      <c r="X11" s="42">
        <v>5256528.81</v>
      </c>
      <c r="Y11" s="42">
        <f>SUM(W11:X11)</f>
        <v>37303003.81</v>
      </c>
      <c r="Z11" s="42"/>
      <c r="AA11" s="42"/>
      <c r="AB11" s="42"/>
      <c r="AC11" s="40"/>
      <c r="AD11" s="40"/>
      <c r="AE11" s="40"/>
    </row>
    <row r="12" spans="1:31" ht="13.5" customHeight="1">
      <c r="A12" s="37">
        <v>4071</v>
      </c>
      <c r="B12" s="38" t="s">
        <v>179</v>
      </c>
      <c r="C12" s="39">
        <v>0.00684266311889059</v>
      </c>
      <c r="D12" s="40">
        <f>ROUND($D$9*C12,0)</f>
        <v>30977437</v>
      </c>
      <c r="E12" s="40">
        <f>'[1]1% Teeter Adj'!$I26</f>
        <v>5841.2300000000005</v>
      </c>
      <c r="F12" s="40">
        <f aca="true" t="shared" si="3" ref="F12:F50">D12+E12</f>
        <v>30983278.23</v>
      </c>
      <c r="G12" s="40">
        <f aca="true" t="shared" si="4" ref="G12:G50">ROUND($G$9*C12,0)</f>
        <v>-273707</v>
      </c>
      <c r="H12" s="40">
        <f>'[2]FY2018 RDA Roll Corr SEC'!$D55</f>
        <v>40469.49</v>
      </c>
      <c r="I12" s="40">
        <f>'[3]2018-19 Unitary 1% Tax'!$G$26</f>
        <v>268821</v>
      </c>
      <c r="J12" s="40">
        <v>-278398.45</v>
      </c>
      <c r="K12" s="41">
        <f>ROUND(SUM(F12:J12),-3)</f>
        <v>30740000</v>
      </c>
      <c r="L12" s="40"/>
      <c r="M12" s="40">
        <f>1875526.54+251846.87</f>
        <v>2127373.41</v>
      </c>
      <c r="N12" s="41">
        <f t="shared" si="0"/>
        <v>2127373.41</v>
      </c>
      <c r="O12" s="40">
        <f t="shared" si="1"/>
        <v>32867373.41</v>
      </c>
      <c r="P12" s="40">
        <f>64126.2*2</f>
        <v>128252.4</v>
      </c>
      <c r="Q12" s="40"/>
      <c r="R12" s="40">
        <f>'[3]Supplemental '!V82</f>
        <v>2408000</v>
      </c>
      <c r="S12" s="40">
        <v>0</v>
      </c>
      <c r="T12" s="40"/>
      <c r="U12" s="40"/>
      <c r="V12" s="40"/>
      <c r="W12" s="42">
        <f t="shared" si="2"/>
        <v>35403626</v>
      </c>
      <c r="X12" s="42">
        <v>1620852.87</v>
      </c>
      <c r="Y12" s="42">
        <f>SUM(W12:X12)-1</f>
        <v>37024477.87</v>
      </c>
      <c r="Z12" s="42">
        <f>'[3]Pass-Through'!G7</f>
        <v>64739.61829</v>
      </c>
      <c r="AA12" s="42">
        <v>149090</v>
      </c>
      <c r="AB12" s="42"/>
      <c r="AC12" s="40"/>
      <c r="AD12" s="40"/>
      <c r="AE12" s="40"/>
    </row>
    <row r="13" spans="1:31" ht="13.5" customHeight="1">
      <c r="A13" s="37">
        <v>4081</v>
      </c>
      <c r="B13" s="38" t="s">
        <v>180</v>
      </c>
      <c r="C13" s="39">
        <v>0.00341724905638421</v>
      </c>
      <c r="D13" s="40">
        <f>ROUND($D$9*C13,0)</f>
        <v>15470237</v>
      </c>
      <c r="E13" s="40">
        <f>'[1]1% Teeter Adj'!$I27</f>
        <v>2940.14</v>
      </c>
      <c r="F13" s="40">
        <f t="shared" si="3"/>
        <v>15473177.14</v>
      </c>
      <c r="G13" s="40">
        <f t="shared" si="4"/>
        <v>-136690</v>
      </c>
      <c r="H13" s="40">
        <f>'[2]FY2018 RDA Roll Corr SEC'!$D56</f>
        <v>20370.02</v>
      </c>
      <c r="I13" s="40">
        <f>'[3]2018-19 Unitary 1% Tax'!G28</f>
        <v>126401</v>
      </c>
      <c r="J13" s="40">
        <v>-448663.71</v>
      </c>
      <c r="K13" s="41">
        <f aca="true" t="shared" si="5" ref="K13:K31">ROUND(SUM(F13:J13),-3)</f>
        <v>15035000</v>
      </c>
      <c r="L13" s="40"/>
      <c r="M13" s="40">
        <f>932673.44+125773.17</f>
        <v>1058446.6099999999</v>
      </c>
      <c r="N13" s="41">
        <f t="shared" si="0"/>
        <v>1058446.6099999999</v>
      </c>
      <c r="O13" s="40">
        <f t="shared" si="1"/>
        <v>16093446.61</v>
      </c>
      <c r="P13" s="40">
        <f>31996.82*2</f>
        <v>63993.64</v>
      </c>
      <c r="Q13" s="40"/>
      <c r="R13" s="40">
        <f>'[3]Supplemental '!V83</f>
        <v>1073000</v>
      </c>
      <c r="S13" s="40">
        <v>0</v>
      </c>
      <c r="T13" s="40"/>
      <c r="U13" s="40"/>
      <c r="V13" s="40"/>
      <c r="W13" s="42">
        <f t="shared" si="2"/>
        <v>17230440</v>
      </c>
      <c r="X13" s="42">
        <v>181003.29</v>
      </c>
      <c r="Y13" s="42">
        <f>SUM(W13:X13)+1</f>
        <v>17411444.29</v>
      </c>
      <c r="Z13" s="42"/>
      <c r="AA13" s="42">
        <v>179177</v>
      </c>
      <c r="AB13" s="70">
        <v>8882.16</v>
      </c>
      <c r="AC13" s="40"/>
      <c r="AD13" s="40"/>
      <c r="AE13" s="40"/>
    </row>
    <row r="14" spans="1:31" ht="13.5" customHeight="1">
      <c r="A14" s="37">
        <v>4091</v>
      </c>
      <c r="B14" s="71" t="s">
        <v>181</v>
      </c>
      <c r="C14" s="39">
        <v>0.0119097463838954</v>
      </c>
      <c r="D14" s="72">
        <f aca="true" t="shared" si="6" ref="D14:D47">ROUND($D$9*C14,0)</f>
        <v>53916643</v>
      </c>
      <c r="E14" s="72">
        <f>'[1]1% Teeter Adj'!$I28</f>
        <v>10027.42</v>
      </c>
      <c r="F14" s="72">
        <f t="shared" si="3"/>
        <v>53926670.42</v>
      </c>
      <c r="G14" s="72">
        <f t="shared" si="4"/>
        <v>-476390</v>
      </c>
      <c r="H14" s="72">
        <f>'[2]FY2018 RDA Roll Corr SEC'!$D57</f>
        <v>69472.41</v>
      </c>
      <c r="I14" s="72">
        <f>'[3]2018-19 Unitary 1% Tax'!G29</f>
        <v>458662</v>
      </c>
      <c r="J14" s="72">
        <v>-2128068.05</v>
      </c>
      <c r="K14" s="73">
        <f t="shared" si="5"/>
        <v>51850000</v>
      </c>
      <c r="L14" s="72"/>
      <c r="M14" s="72">
        <f>3248379.16+438342.83</f>
        <v>3686721.99</v>
      </c>
      <c r="N14" s="73">
        <f t="shared" si="0"/>
        <v>3686721.99</v>
      </c>
      <c r="O14" s="72">
        <f t="shared" si="1"/>
        <v>55536721.99</v>
      </c>
      <c r="P14" s="72">
        <f>108282.1*2</f>
        <v>216564.2</v>
      </c>
      <c r="Q14" s="72"/>
      <c r="R14" s="72"/>
      <c r="S14" s="72">
        <f>'[3]Supplemental '!V84</f>
        <v>7000</v>
      </c>
      <c r="T14" s="72"/>
      <c r="U14" s="72"/>
      <c r="V14" s="72"/>
      <c r="W14" s="70">
        <f t="shared" si="2"/>
        <v>55760286</v>
      </c>
      <c r="X14" s="70"/>
      <c r="Y14" s="70">
        <f aca="true" t="shared" si="7" ref="Y14:Y50">SUM(W14:X14)</f>
        <v>55760286</v>
      </c>
      <c r="Z14" s="70"/>
      <c r="AA14" s="70">
        <v>1324761</v>
      </c>
      <c r="AB14" s="70">
        <v>42129.2</v>
      </c>
      <c r="AC14" s="40"/>
      <c r="AD14" s="40"/>
      <c r="AE14" s="40"/>
    </row>
    <row r="15" spans="1:31" ht="13.5" customHeight="1">
      <c r="A15" s="37">
        <v>4101</v>
      </c>
      <c r="B15" s="38" t="s">
        <v>182</v>
      </c>
      <c r="C15" s="39">
        <v>0.022491945679719703</v>
      </c>
      <c r="D15" s="40">
        <f t="shared" si="6"/>
        <v>101823343</v>
      </c>
      <c r="E15" s="40">
        <f>'[1]1% Teeter Adj'!$I29</f>
        <v>19423.93</v>
      </c>
      <c r="F15" s="40">
        <f t="shared" si="3"/>
        <v>101842766.93</v>
      </c>
      <c r="G15" s="40">
        <f t="shared" si="4"/>
        <v>-899678</v>
      </c>
      <c r="H15" s="40">
        <f>'[2]FY2018 RDA Roll Corr SEC'!$D58</f>
        <v>134573.81</v>
      </c>
      <c r="I15" s="40">
        <f>'[3]2018-19 Unitary 1% Tax'!G30</f>
        <v>888773</v>
      </c>
      <c r="J15" s="40"/>
      <c r="K15" s="41">
        <f t="shared" si="5"/>
        <v>101966000</v>
      </c>
      <c r="L15" s="40"/>
      <c r="M15" s="40">
        <f>6139462.08+827824.77</f>
        <v>6967286.85</v>
      </c>
      <c r="N15" s="41">
        <f t="shared" si="0"/>
        <v>6967286.85</v>
      </c>
      <c r="O15" s="40">
        <f t="shared" si="1"/>
        <v>108933286.85</v>
      </c>
      <c r="P15" s="40">
        <f>209345*2</f>
        <v>418690</v>
      </c>
      <c r="Q15" s="40"/>
      <c r="R15" s="40">
        <f>'[3]Supplemental '!V85</f>
        <v>5948000</v>
      </c>
      <c r="S15" s="40">
        <v>0</v>
      </c>
      <c r="T15" s="40"/>
      <c r="U15" s="40"/>
      <c r="V15" s="40"/>
      <c r="W15" s="42">
        <f t="shared" si="2"/>
        <v>115299977</v>
      </c>
      <c r="X15" s="42">
        <v>1500431.79</v>
      </c>
      <c r="Y15" s="42">
        <f t="shared" si="7"/>
        <v>116800408.79</v>
      </c>
      <c r="Z15" s="42"/>
      <c r="AA15" s="42"/>
      <c r="AB15" s="42"/>
      <c r="AC15" s="40"/>
      <c r="AD15" s="40"/>
      <c r="AE15" s="40"/>
    </row>
    <row r="16" spans="1:31" ht="13.5" customHeight="1">
      <c r="A16" s="37">
        <v>4121</v>
      </c>
      <c r="B16" s="38" t="s">
        <v>183</v>
      </c>
      <c r="C16" s="39">
        <v>0.0101080451670396</v>
      </c>
      <c r="D16" s="40">
        <f t="shared" si="6"/>
        <v>45760157</v>
      </c>
      <c r="E16" s="40">
        <f>'[1]1% Teeter Adj'!$I30</f>
        <v>8823.57</v>
      </c>
      <c r="F16" s="40">
        <f t="shared" si="3"/>
        <v>45768980.57</v>
      </c>
      <c r="G16" s="40">
        <f t="shared" si="4"/>
        <v>-404322</v>
      </c>
      <c r="H16" s="40">
        <f>'[2]FY2018 RDA Roll Corr SEC'!$D59</f>
        <v>61131.86</v>
      </c>
      <c r="I16" s="40">
        <f>'[3]2018-19 Unitary 1% Tax'!G31</f>
        <v>372788</v>
      </c>
      <c r="J16" s="40"/>
      <c r="K16" s="41">
        <f t="shared" si="5"/>
        <v>45799000</v>
      </c>
      <c r="L16" s="40">
        <f>8120.19+322.16</f>
        <v>8442.35</v>
      </c>
      <c r="M16" s="40">
        <f>2760047.52+372030.52</f>
        <v>3132078.04</v>
      </c>
      <c r="N16" s="41">
        <f t="shared" si="0"/>
        <v>3140520.39</v>
      </c>
      <c r="O16" s="40">
        <f t="shared" si="1"/>
        <v>48939520.39</v>
      </c>
      <c r="P16" s="40">
        <f>95000.32*2</f>
        <v>190000.64</v>
      </c>
      <c r="Q16" s="40"/>
      <c r="R16" s="40">
        <f>'[3]Supplemental '!V86</f>
        <v>4005000</v>
      </c>
      <c r="S16" s="40">
        <v>0</v>
      </c>
      <c r="T16" s="40"/>
      <c r="U16" s="40"/>
      <c r="V16" s="40"/>
      <c r="W16" s="42">
        <f t="shared" si="2"/>
        <v>53134521</v>
      </c>
      <c r="X16" s="42">
        <v>2813541.9</v>
      </c>
      <c r="Y16" s="42">
        <f t="shared" si="7"/>
        <v>55948062.9</v>
      </c>
      <c r="Z16" s="42"/>
      <c r="AA16" s="42"/>
      <c r="AB16" s="42"/>
      <c r="AC16" s="40"/>
      <c r="AD16" s="40"/>
      <c r="AE16" s="40"/>
    </row>
    <row r="17" spans="1:31" ht="13.5" customHeight="1">
      <c r="A17" s="37">
        <v>4131</v>
      </c>
      <c r="B17" s="38" t="s">
        <v>184</v>
      </c>
      <c r="C17" s="39">
        <v>0.00581945445342959</v>
      </c>
      <c r="D17" s="40">
        <f t="shared" si="6"/>
        <v>26345267</v>
      </c>
      <c r="E17" s="40">
        <f>'[1]1% Teeter Adj'!$I31</f>
        <v>4968.81</v>
      </c>
      <c r="F17" s="40">
        <f t="shared" si="3"/>
        <v>26350235.81</v>
      </c>
      <c r="G17" s="40">
        <f t="shared" si="4"/>
        <v>-232778</v>
      </c>
      <c r="H17" s="40">
        <f>'[2]FY2018 RDA Roll Corr SEC'!$D60</f>
        <v>34425.11</v>
      </c>
      <c r="I17" s="40">
        <f>'[3]2018-19 Unitary 1% Tax'!G32</f>
        <v>238459</v>
      </c>
      <c r="J17" s="40">
        <v>-1774378.45</v>
      </c>
      <c r="K17" s="41">
        <f t="shared" si="5"/>
        <v>24616000</v>
      </c>
      <c r="L17" s="40"/>
      <c r="M17" s="40">
        <f>1587934.44+214187.27</f>
        <v>1802121.71</v>
      </c>
      <c r="N17" s="41">
        <f t="shared" si="0"/>
        <v>1802121.71</v>
      </c>
      <c r="O17" s="40">
        <f t="shared" si="1"/>
        <v>26418121.71</v>
      </c>
      <c r="P17" s="40">
        <f>55873.21*2</f>
        <v>111746.42</v>
      </c>
      <c r="Q17" s="40"/>
      <c r="R17" s="40">
        <f>'[3]Supplemental '!V87</f>
        <v>3594000</v>
      </c>
      <c r="S17" s="40">
        <v>0</v>
      </c>
      <c r="T17" s="40"/>
      <c r="U17" s="40"/>
      <c r="V17" s="40"/>
      <c r="W17" s="42">
        <f t="shared" si="2"/>
        <v>30123868</v>
      </c>
      <c r="X17" s="42">
        <v>3765017.1</v>
      </c>
      <c r="Y17" s="42">
        <f t="shared" si="7"/>
        <v>33888885.1</v>
      </c>
      <c r="Z17" s="42">
        <f>'[3]Pass-Through'!$G$10</f>
        <v>227041.28108000002</v>
      </c>
      <c r="AA17" s="42">
        <v>250965</v>
      </c>
      <c r="AB17" s="70">
        <v>657521.47</v>
      </c>
      <c r="AC17" s="40"/>
      <c r="AD17" s="40"/>
      <c r="AE17" s="40"/>
    </row>
    <row r="18" spans="1:31" ht="13.5" customHeight="1">
      <c r="A18" s="37">
        <v>4171</v>
      </c>
      <c r="B18" s="71" t="s">
        <v>185</v>
      </c>
      <c r="C18" s="39">
        <v>6.895191508676E-05</v>
      </c>
      <c r="D18" s="72">
        <f t="shared" si="6"/>
        <v>312152</v>
      </c>
      <c r="E18" s="72">
        <f>'[1]1% Teeter Adj'!$I32</f>
        <v>57.730000000000004</v>
      </c>
      <c r="F18" s="72">
        <f t="shared" si="3"/>
        <v>312209.73</v>
      </c>
      <c r="G18" s="72">
        <f t="shared" si="4"/>
        <v>-2758</v>
      </c>
      <c r="H18" s="72">
        <f>'[2]FY2018 RDA Roll Corr SEC'!$D61</f>
        <v>399.95</v>
      </c>
      <c r="I18" s="72">
        <f>'[3]2018-19 Unitary 1% Tax'!$G$35</f>
        <v>4787</v>
      </c>
      <c r="J18" s="72"/>
      <c r="K18" s="73">
        <f t="shared" si="5"/>
        <v>315000</v>
      </c>
      <c r="L18" s="72"/>
      <c r="M18" s="72">
        <f>18803.41+2537.8</f>
        <v>21341.21</v>
      </c>
      <c r="N18" s="73">
        <f t="shared" si="0"/>
        <v>21341.21</v>
      </c>
      <c r="O18" s="72">
        <f t="shared" si="1"/>
        <v>336341.21</v>
      </c>
      <c r="P18" s="72">
        <f>626.9*2</f>
        <v>1253.8</v>
      </c>
      <c r="Q18" s="72">
        <f>ROUND(666.02+187.05,-2)</f>
        <v>900</v>
      </c>
      <c r="R18" s="72">
        <f>'[3]Supplemental '!V88</f>
        <v>0</v>
      </c>
      <c r="S18" s="72">
        <v>0</v>
      </c>
      <c r="T18" s="72"/>
      <c r="U18" s="72"/>
      <c r="V18" s="72"/>
      <c r="W18" s="70">
        <f t="shared" si="2"/>
        <v>338495</v>
      </c>
      <c r="X18" s="70"/>
      <c r="Y18" s="70">
        <f t="shared" si="7"/>
        <v>338495</v>
      </c>
      <c r="Z18" s="70"/>
      <c r="AA18" s="70"/>
      <c r="AB18" s="70"/>
      <c r="AC18" s="40"/>
      <c r="AD18" s="40"/>
      <c r="AE18" s="40"/>
    </row>
    <row r="19" spans="1:31" ht="13.5" customHeight="1">
      <c r="A19" s="37">
        <v>4191</v>
      </c>
      <c r="B19" s="71" t="s">
        <v>186</v>
      </c>
      <c r="C19" s="39">
        <v>0.00015564982007849998</v>
      </c>
      <c r="D19" s="72">
        <f t="shared" si="6"/>
        <v>704643</v>
      </c>
      <c r="E19" s="72">
        <f>'[1]1% Teeter Adj'!$I33</f>
        <v>137.23000000000002</v>
      </c>
      <c r="F19" s="72">
        <f t="shared" si="3"/>
        <v>704780.23</v>
      </c>
      <c r="G19" s="72">
        <f t="shared" si="4"/>
        <v>-6226</v>
      </c>
      <c r="H19" s="72">
        <f>'[2]FY2018 RDA Roll Corr SEC'!$D62</f>
        <v>950.77</v>
      </c>
      <c r="I19" s="72">
        <f>'[3]2018-19 Unitary 1% Tax'!G37</f>
        <v>38003</v>
      </c>
      <c r="J19" s="72"/>
      <c r="K19" s="73">
        <f t="shared" si="5"/>
        <v>738000</v>
      </c>
      <c r="L19" s="72"/>
      <c r="M19" s="72">
        <f>42514.28+5728.75</f>
        <v>48243.03</v>
      </c>
      <c r="N19" s="73">
        <f t="shared" si="0"/>
        <v>48243.03</v>
      </c>
      <c r="O19" s="72">
        <f t="shared" si="1"/>
        <v>786243.03</v>
      </c>
      <c r="P19" s="72">
        <f>1415.16*2</f>
        <v>2830.32</v>
      </c>
      <c r="Q19" s="72">
        <f>ROUND(2020.08+567.33,-2)</f>
        <v>2600</v>
      </c>
      <c r="R19" s="72">
        <f>'[3]Supplemental '!V89</f>
        <v>0</v>
      </c>
      <c r="S19" s="72">
        <v>0</v>
      </c>
      <c r="T19" s="72"/>
      <c r="U19" s="72"/>
      <c r="V19" s="72"/>
      <c r="W19" s="70">
        <f t="shared" si="2"/>
        <v>791673</v>
      </c>
      <c r="X19" s="70"/>
      <c r="Y19" s="70">
        <f t="shared" si="7"/>
        <v>791673</v>
      </c>
      <c r="Z19" s="70"/>
      <c r="AA19" s="70"/>
      <c r="AB19" s="70"/>
      <c r="AC19" s="40"/>
      <c r="AD19" s="40"/>
      <c r="AE19" s="40"/>
    </row>
    <row r="20" spans="1:31" ht="13.5" customHeight="1">
      <c r="A20" s="37">
        <v>4201</v>
      </c>
      <c r="B20" s="71" t="s">
        <v>187</v>
      </c>
      <c r="C20" s="39">
        <v>0.00951414448459251</v>
      </c>
      <c r="D20" s="72">
        <f t="shared" si="6"/>
        <v>43071507</v>
      </c>
      <c r="E20" s="72">
        <f>'[1]1% Teeter Adj'!$I34</f>
        <v>8070.27</v>
      </c>
      <c r="F20" s="72">
        <f t="shared" si="3"/>
        <v>43079577.27</v>
      </c>
      <c r="G20" s="72">
        <f t="shared" si="4"/>
        <v>-380566</v>
      </c>
      <c r="H20" s="72">
        <f>'[2]FY2018 RDA Roll Corr SEC'!$D63</f>
        <v>55912.83</v>
      </c>
      <c r="I20" s="72">
        <f>'[3]2018-19 Unitary 1% Tax'!G38</f>
        <v>273025</v>
      </c>
      <c r="J20" s="72"/>
      <c r="K20" s="73">
        <f t="shared" si="5"/>
        <v>43028000</v>
      </c>
      <c r="L20" s="72"/>
      <c r="M20" s="72">
        <f>2595568.51+350171.77</f>
        <v>2945740.28</v>
      </c>
      <c r="N20" s="73">
        <f t="shared" si="0"/>
        <v>2945740.28</v>
      </c>
      <c r="O20" s="72">
        <f t="shared" si="1"/>
        <v>45973740.28</v>
      </c>
      <c r="P20" s="72">
        <f>86501.56*2</f>
        <v>173003.12</v>
      </c>
      <c r="Q20" s="72"/>
      <c r="R20" s="72">
        <f>'[3]Supplemental '!V90</f>
        <v>0</v>
      </c>
      <c r="S20" s="72">
        <v>0</v>
      </c>
      <c r="T20" s="72"/>
      <c r="U20" s="72"/>
      <c r="V20" s="72"/>
      <c r="W20" s="70">
        <f t="shared" si="2"/>
        <v>46146743</v>
      </c>
      <c r="X20" s="70"/>
      <c r="Y20" s="70">
        <f t="shared" si="7"/>
        <v>46146743</v>
      </c>
      <c r="Z20" s="70"/>
      <c r="AA20" s="70"/>
      <c r="AB20" s="70"/>
      <c r="AC20" s="40"/>
      <c r="AD20" s="40"/>
      <c r="AE20" s="40"/>
    </row>
    <row r="21" spans="1:31" ht="13.5" customHeight="1">
      <c r="A21" s="37">
        <v>4211</v>
      </c>
      <c r="B21" s="71" t="s">
        <v>188</v>
      </c>
      <c r="C21" s="39">
        <v>0.006434576308101289</v>
      </c>
      <c r="D21" s="72">
        <f>ROUND($D$9*C21,0)</f>
        <v>29129986</v>
      </c>
      <c r="E21" s="72">
        <f>'[1]1% Teeter Adj'!$I35</f>
        <v>5512.759999999999</v>
      </c>
      <c r="F21" s="72">
        <f t="shared" si="3"/>
        <v>29135498.76</v>
      </c>
      <c r="G21" s="72">
        <f t="shared" si="4"/>
        <v>-257383</v>
      </c>
      <c r="H21" s="72">
        <f>'[2]FY2018 RDA Roll Corr SEC'!$D64</f>
        <v>38193.77</v>
      </c>
      <c r="I21" s="72">
        <f>'[3]2018-19 Unitary 1% Tax'!G39</f>
        <v>278456</v>
      </c>
      <c r="J21" s="72">
        <v>-3263190.13</v>
      </c>
      <c r="K21" s="73">
        <f t="shared" si="5"/>
        <v>25932000</v>
      </c>
      <c r="L21" s="72"/>
      <c r="M21" s="72">
        <f>1755965.15+236827.07</f>
        <v>1992792.22</v>
      </c>
      <c r="N21" s="73">
        <f t="shared" si="0"/>
        <v>1992792.22</v>
      </c>
      <c r="O21" s="72">
        <f t="shared" si="1"/>
        <v>27924792.22</v>
      </c>
      <c r="P21" s="72">
        <f>58502.46*2</f>
        <v>117004.92</v>
      </c>
      <c r="Q21" s="72">
        <f>ROUND(957.75+268.98,-2)</f>
        <v>1200</v>
      </c>
      <c r="R21" s="72">
        <f>'[3]Supplemental '!V91</f>
        <v>0</v>
      </c>
      <c r="S21" s="72">
        <v>0</v>
      </c>
      <c r="T21" s="72"/>
      <c r="U21" s="72"/>
      <c r="V21" s="72"/>
      <c r="W21" s="70">
        <f t="shared" si="2"/>
        <v>28042997</v>
      </c>
      <c r="X21" s="70"/>
      <c r="Y21" s="70">
        <f t="shared" si="7"/>
        <v>28042997</v>
      </c>
      <c r="Z21" s="70"/>
      <c r="AA21" s="70">
        <v>541209</v>
      </c>
      <c r="AB21" s="70"/>
      <c r="AC21" s="40"/>
      <c r="AD21" s="40"/>
      <c r="AE21" s="40"/>
    </row>
    <row r="22" spans="1:31" ht="13.5" customHeight="1">
      <c r="A22" s="37">
        <v>4221</v>
      </c>
      <c r="B22" s="38" t="s">
        <v>189</v>
      </c>
      <c r="C22" s="39">
        <v>0.00022628294475686002</v>
      </c>
      <c r="D22" s="40">
        <f t="shared" si="6"/>
        <v>1024406</v>
      </c>
      <c r="E22" s="40">
        <f>'[1]1% Teeter Adj'!$I36</f>
        <v>196.17000000000002</v>
      </c>
      <c r="F22" s="40">
        <f t="shared" si="3"/>
        <v>1024602.17</v>
      </c>
      <c r="G22" s="40">
        <f t="shared" si="4"/>
        <v>-9051</v>
      </c>
      <c r="H22" s="40">
        <f>'[2]FY2018 RDA Roll Corr SEC'!$D65</f>
        <v>1359.14</v>
      </c>
      <c r="I22" s="40">
        <f>'[3]2018-19 Unitary 1% Tax'!$G$27</f>
        <v>11368</v>
      </c>
      <c r="J22" s="40"/>
      <c r="K22" s="41">
        <f t="shared" si="5"/>
        <v>1028000</v>
      </c>
      <c r="L22" s="40"/>
      <c r="M22" s="40">
        <f>61774.25+8328.43</f>
        <v>70102.68</v>
      </c>
      <c r="N22" s="41">
        <f t="shared" si="0"/>
        <v>70102.68</v>
      </c>
      <c r="O22" s="40">
        <f t="shared" si="1"/>
        <v>1098102.68</v>
      </c>
      <c r="P22" s="40">
        <f>2192.47*2</f>
        <v>4384.94</v>
      </c>
      <c r="Q22" s="40"/>
      <c r="R22" s="40">
        <f>'[3]Supplemental '!V92</f>
        <v>169000</v>
      </c>
      <c r="S22" s="40">
        <v>0</v>
      </c>
      <c r="T22" s="40"/>
      <c r="U22" s="40"/>
      <c r="V22" s="40"/>
      <c r="W22" s="42">
        <f t="shared" si="2"/>
        <v>1271488</v>
      </c>
      <c r="X22" s="42">
        <v>317406.18000000005</v>
      </c>
      <c r="Y22" s="42">
        <f t="shared" si="7"/>
        <v>1588894.1800000002</v>
      </c>
      <c r="Z22" s="42"/>
      <c r="AA22" s="42"/>
      <c r="AB22" s="42"/>
      <c r="AC22" s="40"/>
      <c r="AD22" s="40"/>
      <c r="AE22" s="40"/>
    </row>
    <row r="23" spans="1:31" ht="13.5" customHeight="1">
      <c r="A23" s="37">
        <v>4261</v>
      </c>
      <c r="B23" s="38" t="s">
        <v>190</v>
      </c>
      <c r="C23" s="39">
        <v>0.00537028336681022</v>
      </c>
      <c r="D23" s="40">
        <f t="shared" si="6"/>
        <v>24311823</v>
      </c>
      <c r="E23" s="40">
        <f>'[1]1% Teeter Adj'!$I37</f>
        <v>4597.43</v>
      </c>
      <c r="F23" s="40">
        <f t="shared" si="3"/>
        <v>24316420.43</v>
      </c>
      <c r="G23" s="40">
        <f t="shared" si="4"/>
        <v>-214811</v>
      </c>
      <c r="H23" s="40">
        <f>'[2]FY2018 RDA Roll Corr SEC'!$D66</f>
        <v>31852.15</v>
      </c>
      <c r="I23" s="40">
        <f>'[3]2018-19 Unitary 1% Tax'!G41</f>
        <v>208568</v>
      </c>
      <c r="J23" s="40"/>
      <c r="K23" s="41">
        <f t="shared" si="5"/>
        <v>24342000</v>
      </c>
      <c r="L23" s="40"/>
      <c r="M23" s="40">
        <f>1465490.17+197655.36</f>
        <v>1663145.5299999998</v>
      </c>
      <c r="N23" s="41">
        <f t="shared" si="0"/>
        <v>1663145.5299999998</v>
      </c>
      <c r="O23" s="40">
        <f t="shared" si="1"/>
        <v>26005145.53</v>
      </c>
      <c r="P23" s="40">
        <f>50206.27*2</f>
        <v>100412.54</v>
      </c>
      <c r="Q23" s="40"/>
      <c r="R23" s="40">
        <f>'[3]Supplemental '!V94</f>
        <v>1665000</v>
      </c>
      <c r="S23" s="40">
        <v>0</v>
      </c>
      <c r="T23" s="40"/>
      <c r="U23" s="40"/>
      <c r="V23" s="40"/>
      <c r="W23" s="42">
        <f t="shared" si="2"/>
        <v>27770558</v>
      </c>
      <c r="X23" s="42">
        <v>1033614.27</v>
      </c>
      <c r="Y23" s="42">
        <f>SUM(W23:X23)+1</f>
        <v>28804173.27</v>
      </c>
      <c r="Z23" s="42"/>
      <c r="AA23" s="42"/>
      <c r="AB23" s="42"/>
      <c r="AC23" s="40"/>
      <c r="AD23" s="40"/>
      <c r="AE23" s="40"/>
    </row>
    <row r="24" spans="1:31" ht="13.5" customHeight="1">
      <c r="A24" s="37">
        <v>4281</v>
      </c>
      <c r="B24" s="38" t="s">
        <v>191</v>
      </c>
      <c r="C24" s="39">
        <v>0.0015014223108391301</v>
      </c>
      <c r="D24" s="40">
        <f t="shared" si="6"/>
        <v>6797093</v>
      </c>
      <c r="E24" s="40">
        <f>'[1]1% Teeter Adj'!$I38</f>
        <v>1300.23</v>
      </c>
      <c r="F24" s="40">
        <f t="shared" si="3"/>
        <v>6798393.23</v>
      </c>
      <c r="G24" s="40">
        <f t="shared" si="4"/>
        <v>-60057</v>
      </c>
      <c r="H24" s="40">
        <f>'[2]FY2018 RDA Roll Corr SEC'!$D67</f>
        <v>9008.26</v>
      </c>
      <c r="I24" s="40">
        <f>'[3]2018-19 Unitary 1% Tax'!G42</f>
        <v>61736</v>
      </c>
      <c r="J24" s="40"/>
      <c r="K24" s="41">
        <f t="shared" si="5"/>
        <v>6809000</v>
      </c>
      <c r="L24" s="40"/>
      <c r="M24" s="40">
        <f>409867.71+55260.43</f>
        <v>465128.14</v>
      </c>
      <c r="N24" s="41">
        <f t="shared" si="0"/>
        <v>465128.14</v>
      </c>
      <c r="O24" s="40">
        <f t="shared" si="1"/>
        <v>7274128.14</v>
      </c>
      <c r="P24" s="40">
        <f>14338.34*2</f>
        <v>28676.68</v>
      </c>
      <c r="Q24" s="40"/>
      <c r="R24" s="40">
        <f>'[3]Supplemental '!V95</f>
        <v>842000</v>
      </c>
      <c r="S24" s="40">
        <v>0</v>
      </c>
      <c r="T24" s="40"/>
      <c r="U24" s="40"/>
      <c r="V24" s="40"/>
      <c r="W24" s="42">
        <f t="shared" si="2"/>
        <v>8144805</v>
      </c>
      <c r="X24" s="42">
        <v>858929.37</v>
      </c>
      <c r="Y24" s="42">
        <f t="shared" si="7"/>
        <v>9003734.37</v>
      </c>
      <c r="Z24" s="42"/>
      <c r="AA24" s="42"/>
      <c r="AB24" s="42"/>
      <c r="AC24" s="40"/>
      <c r="AD24" s="40"/>
      <c r="AE24" s="40"/>
    </row>
    <row r="25" spans="1:31" ht="13.5" customHeight="1">
      <c r="A25" s="37">
        <v>4291</v>
      </c>
      <c r="B25" s="71" t="s">
        <v>192</v>
      </c>
      <c r="C25" s="39">
        <v>0.011967313601054802</v>
      </c>
      <c r="D25" s="72">
        <f t="shared" si="6"/>
        <v>54177255</v>
      </c>
      <c r="E25" s="72">
        <f>'[1]1% Teeter Adj'!$I39</f>
        <v>10507.16</v>
      </c>
      <c r="F25" s="72">
        <f t="shared" si="3"/>
        <v>54187762.16</v>
      </c>
      <c r="G25" s="72">
        <f t="shared" si="4"/>
        <v>-478693</v>
      </c>
      <c r="H25" s="72">
        <f>'[2]FY2018 RDA Roll Corr SEC'!$D68</f>
        <v>72796.18</v>
      </c>
      <c r="I25" s="72">
        <f>'[3]2018-19 Unitary 1% Tax'!G43</f>
        <v>397992</v>
      </c>
      <c r="J25" s="72">
        <v>-9203291.67</v>
      </c>
      <c r="K25" s="73">
        <f t="shared" si="5"/>
        <v>44977000</v>
      </c>
      <c r="L25" s="72"/>
      <c r="M25" s="72">
        <f>3268325.52+440461.61</f>
        <v>3708787.13</v>
      </c>
      <c r="N25" s="73">
        <f t="shared" si="0"/>
        <v>3708787.13</v>
      </c>
      <c r="O25" s="72">
        <f t="shared" si="1"/>
        <v>48685787.13</v>
      </c>
      <c r="P25" s="72">
        <f>108805.5*2</f>
        <v>217611</v>
      </c>
      <c r="Q25" s="72">
        <f>ROUND(1453.14+408.11,-2)</f>
        <v>1900</v>
      </c>
      <c r="R25" s="72">
        <f>'[3]Supplemental '!V96</f>
        <v>0</v>
      </c>
      <c r="S25" s="72">
        <v>0</v>
      </c>
      <c r="T25" s="72"/>
      <c r="U25" s="72"/>
      <c r="V25" s="72"/>
      <c r="W25" s="70">
        <f t="shared" si="2"/>
        <v>48905298</v>
      </c>
      <c r="X25" s="70"/>
      <c r="Y25" s="70">
        <f t="shared" si="7"/>
        <v>48905298</v>
      </c>
      <c r="Z25" s="70"/>
      <c r="AA25" s="70"/>
      <c r="AB25" s="70">
        <v>27278.56</v>
      </c>
      <c r="AC25" s="40"/>
      <c r="AD25" s="40"/>
      <c r="AE25" s="40"/>
    </row>
    <row r="26" spans="1:31" ht="13.5" customHeight="1">
      <c r="A26" s="37">
        <v>9520</v>
      </c>
      <c r="B26" s="71" t="s">
        <v>193</v>
      </c>
      <c r="C26" s="39">
        <v>1.574687508449E-05</v>
      </c>
      <c r="D26" s="40">
        <f t="shared" si="6"/>
        <v>71288</v>
      </c>
      <c r="E26" s="40">
        <f>'[1]1% Teeter Adj'!$I$93</f>
        <v>13.780000000000001</v>
      </c>
      <c r="F26" s="40">
        <f t="shared" si="3"/>
        <v>71301.78</v>
      </c>
      <c r="G26" s="40">
        <f t="shared" si="4"/>
        <v>-630</v>
      </c>
      <c r="H26" s="40">
        <f>'[2]FY2018 RDA Roll Corr SEC'!$D$122</f>
        <v>95.45</v>
      </c>
      <c r="I26" s="40">
        <f>'[3]2018-19 Unitary 1% Tax'!$G$24</f>
        <v>4403</v>
      </c>
      <c r="J26" s="40"/>
      <c r="K26" s="41">
        <f t="shared" si="5"/>
        <v>75000</v>
      </c>
      <c r="L26" s="40"/>
      <c r="M26" s="40">
        <f>4300.06+579.57</f>
        <v>4879.63</v>
      </c>
      <c r="N26" s="41">
        <f t="shared" si="0"/>
        <v>4879.63</v>
      </c>
      <c r="O26" s="40">
        <f t="shared" si="1"/>
        <v>79879.63</v>
      </c>
      <c r="P26" s="40">
        <f>143.17*2</f>
        <v>286.34</v>
      </c>
      <c r="Q26" s="40"/>
      <c r="R26" s="40">
        <f>'[3]Supplemental '!V123</f>
        <v>0</v>
      </c>
      <c r="S26" s="40">
        <v>0</v>
      </c>
      <c r="T26" s="40"/>
      <c r="U26" s="40"/>
      <c r="V26" s="40"/>
      <c r="W26" s="42">
        <f t="shared" si="2"/>
        <v>80166</v>
      </c>
      <c r="X26" s="42">
        <v>0</v>
      </c>
      <c r="Y26" s="42">
        <f t="shared" si="7"/>
        <v>80166</v>
      </c>
      <c r="Z26" s="42"/>
      <c r="AA26" s="42"/>
      <c r="AB26" s="42"/>
      <c r="AC26" s="40"/>
      <c r="AD26" s="40"/>
      <c r="AE26" s="40"/>
    </row>
    <row r="27" spans="1:31" ht="13.5" customHeight="1">
      <c r="A27" s="37">
        <v>4301</v>
      </c>
      <c r="B27" s="38" t="s">
        <v>194</v>
      </c>
      <c r="C27" s="39">
        <v>0.0068163467444147694</v>
      </c>
      <c r="D27" s="40">
        <f t="shared" si="6"/>
        <v>30858300</v>
      </c>
      <c r="E27" s="40">
        <f>'[1]1% Teeter Adj'!$I40</f>
        <v>5813.16</v>
      </c>
      <c r="F27" s="40">
        <f t="shared" si="3"/>
        <v>30864113.16</v>
      </c>
      <c r="G27" s="40">
        <f t="shared" si="4"/>
        <v>-272654</v>
      </c>
      <c r="H27" s="40">
        <f>'[2]FY2018 RDA Roll Corr SEC'!$D69</f>
        <v>40275.03</v>
      </c>
      <c r="I27" s="40">
        <f>'[3]2018-19 Unitary 1% Tax'!G44</f>
        <v>269689</v>
      </c>
      <c r="J27" s="40">
        <v>-8054302.38</v>
      </c>
      <c r="K27" s="41">
        <f t="shared" si="5"/>
        <v>22847000</v>
      </c>
      <c r="L27" s="40"/>
      <c r="M27" s="40">
        <f>1859885.9+250878.28</f>
        <v>2110764.1799999997</v>
      </c>
      <c r="N27" s="41">
        <f t="shared" si="0"/>
        <v>2110764.1799999997</v>
      </c>
      <c r="O27" s="40">
        <f t="shared" si="1"/>
        <v>24957764.18</v>
      </c>
      <c r="P27" s="40">
        <f>64686.3*2</f>
        <v>129372.6</v>
      </c>
      <c r="Q27" s="40"/>
      <c r="R27" s="40">
        <f>'[3]Supplemental '!V97</f>
        <v>3395000</v>
      </c>
      <c r="S27" s="40">
        <v>0</v>
      </c>
      <c r="T27" s="40"/>
      <c r="U27" s="40"/>
      <c r="V27" s="40"/>
      <c r="W27" s="42">
        <f t="shared" si="2"/>
        <v>28482137</v>
      </c>
      <c r="X27" s="42">
        <v>4135200.42</v>
      </c>
      <c r="Y27" s="42">
        <f t="shared" si="7"/>
        <v>32617337.42</v>
      </c>
      <c r="Z27" s="42">
        <f>'[3]Pass-Through'!$G$12</f>
        <v>848392.30181</v>
      </c>
      <c r="AA27" s="42">
        <v>1222820</v>
      </c>
      <c r="AB27" s="42">
        <v>2984637.67</v>
      </c>
      <c r="AC27" s="40"/>
      <c r="AD27" s="40"/>
      <c r="AE27" s="40"/>
    </row>
    <row r="28" spans="1:31" ht="13.5" customHeight="1">
      <c r="A28" s="37">
        <v>4311</v>
      </c>
      <c r="B28" s="38" t="s">
        <v>195</v>
      </c>
      <c r="C28" s="39">
        <v>0.00234541621355702</v>
      </c>
      <c r="D28" s="40">
        <f t="shared" si="6"/>
        <v>10617940</v>
      </c>
      <c r="E28" s="40">
        <f>'[1]1% Teeter Adj'!$I41</f>
        <v>2052.4900000000002</v>
      </c>
      <c r="F28" s="40">
        <f t="shared" si="3"/>
        <v>10619992.49</v>
      </c>
      <c r="G28" s="40">
        <f t="shared" si="4"/>
        <v>-93817</v>
      </c>
      <c r="H28" s="40">
        <f>'[2]FY2018 RDA Roll Corr SEC'!$D70</f>
        <v>14220.18</v>
      </c>
      <c r="I28" s="40">
        <f>'[3]2018-19 Unitary 1% Tax'!G45</f>
        <v>39488</v>
      </c>
      <c r="J28" s="40">
        <v>-7631922.49</v>
      </c>
      <c r="K28" s="41">
        <f t="shared" si="5"/>
        <v>2948000</v>
      </c>
      <c r="L28" s="40"/>
      <c r="M28" s="40">
        <f>640476.91+86323.95</f>
        <v>726800.86</v>
      </c>
      <c r="N28" s="41">
        <f t="shared" si="0"/>
        <v>726800.86</v>
      </c>
      <c r="O28" s="40">
        <f t="shared" si="1"/>
        <v>3674800.86</v>
      </c>
      <c r="P28" s="40">
        <f>21564.34*2</f>
        <v>43128.68</v>
      </c>
      <c r="Q28" s="40"/>
      <c r="R28" s="40">
        <f>'[3]Supplemental '!V98</f>
        <v>294000</v>
      </c>
      <c r="S28" s="40">
        <v>0</v>
      </c>
      <c r="T28" s="40"/>
      <c r="U28" s="40"/>
      <c r="V28" s="40"/>
      <c r="W28" s="42">
        <f t="shared" si="2"/>
        <v>4011930</v>
      </c>
      <c r="X28" s="42">
        <v>0</v>
      </c>
      <c r="Y28" s="42">
        <f t="shared" si="7"/>
        <v>4011930</v>
      </c>
      <c r="Z28" s="42">
        <f>'[3]Pass-Through'!$G$13</f>
        <v>672794.4820399999</v>
      </c>
      <c r="AA28" s="42">
        <v>1218875</v>
      </c>
      <c r="AB28" s="42">
        <v>2828118.72</v>
      </c>
      <c r="AC28" s="72" t="s">
        <v>196</v>
      </c>
      <c r="AD28" s="40"/>
      <c r="AE28" s="40"/>
    </row>
    <row r="29" spans="1:31" ht="13.5" customHeight="1">
      <c r="A29" s="37">
        <v>4361</v>
      </c>
      <c r="B29" s="71" t="s">
        <v>197</v>
      </c>
      <c r="C29" s="39">
        <v>0.00580362821282834</v>
      </c>
      <c r="D29" s="72">
        <f t="shared" si="6"/>
        <v>26273620</v>
      </c>
      <c r="E29" s="72">
        <f>'[1]1% Teeter Adj'!$I42</f>
        <v>4984.25</v>
      </c>
      <c r="F29" s="72">
        <f t="shared" si="3"/>
        <v>26278604.25</v>
      </c>
      <c r="G29" s="72">
        <f t="shared" si="4"/>
        <v>-232145</v>
      </c>
      <c r="H29" s="72">
        <f>'[2]FY2018 RDA Roll Corr SEC'!$D71</f>
        <v>34532.12</v>
      </c>
      <c r="I29" s="72">
        <f>'[3]2018-19 Unitary 1% Tax'!G49</f>
        <v>186783</v>
      </c>
      <c r="J29" s="72"/>
      <c r="K29" s="73">
        <f t="shared" si="5"/>
        <v>26268000</v>
      </c>
      <c r="L29" s="72"/>
      <c r="M29" s="72">
        <f>1583901.02+213604.78</f>
        <v>1797505.8</v>
      </c>
      <c r="N29" s="73">
        <f t="shared" si="0"/>
        <v>1797505.8</v>
      </c>
      <c r="O29" s="72">
        <f t="shared" si="1"/>
        <v>28065505.8</v>
      </c>
      <c r="P29" s="72">
        <f>52765.94*2</f>
        <v>105531.88</v>
      </c>
      <c r="Q29" s="72">
        <f>ROUND(564.19+158.45,-2)</f>
        <v>700</v>
      </c>
      <c r="R29" s="72">
        <f>'[3]Supplemental '!V99</f>
        <v>0</v>
      </c>
      <c r="S29" s="72">
        <v>0</v>
      </c>
      <c r="T29" s="72"/>
      <c r="U29" s="72"/>
      <c r="V29" s="72"/>
      <c r="W29" s="70">
        <f t="shared" si="2"/>
        <v>28171738</v>
      </c>
      <c r="X29" s="70"/>
      <c r="Y29" s="70">
        <f t="shared" si="7"/>
        <v>28171738</v>
      </c>
      <c r="Z29" s="70"/>
      <c r="AA29" s="70"/>
      <c r="AB29" s="70"/>
      <c r="AC29" s="40"/>
      <c r="AD29" s="40"/>
      <c r="AE29" s="40"/>
    </row>
    <row r="30" spans="1:31" ht="13.5" customHeight="1">
      <c r="A30" s="37">
        <v>4371</v>
      </c>
      <c r="B30" s="71" t="s">
        <v>198</v>
      </c>
      <c r="C30" s="39">
        <v>0.0150910329401028</v>
      </c>
      <c r="D30" s="72">
        <f t="shared" si="6"/>
        <v>68318653</v>
      </c>
      <c r="E30" s="72">
        <f>'[1]1% Teeter Adj'!$I43</f>
        <v>12229.76</v>
      </c>
      <c r="F30" s="72">
        <f t="shared" si="3"/>
        <v>68330882.76</v>
      </c>
      <c r="G30" s="72">
        <f t="shared" si="4"/>
        <v>-603641</v>
      </c>
      <c r="H30" s="72">
        <f>'[2]FY2018 RDA Roll Corr SEC'!$D72</f>
        <v>84730.81</v>
      </c>
      <c r="I30" s="72">
        <f>'[3]2018-19 Unitary 1% Tax'!G50</f>
        <v>621917</v>
      </c>
      <c r="J30" s="72">
        <v>-3544895.93</v>
      </c>
      <c r="K30" s="73">
        <f t="shared" si="5"/>
        <v>64889000</v>
      </c>
      <c r="L30" s="72"/>
      <c r="M30" s="72">
        <f>4111387.41+555431.31</f>
        <v>4666818.720000001</v>
      </c>
      <c r="N30" s="73">
        <f t="shared" si="0"/>
        <v>4666818.720000001</v>
      </c>
      <c r="O30" s="72">
        <f t="shared" si="1"/>
        <v>69555818.72</v>
      </c>
      <c r="P30" s="72">
        <f>137206*2</f>
        <v>274412</v>
      </c>
      <c r="Q30" s="72"/>
      <c r="R30" s="72">
        <f>'[3]Supplemental '!V100</f>
        <v>0</v>
      </c>
      <c r="S30" s="72">
        <v>0</v>
      </c>
      <c r="T30" s="72"/>
      <c r="U30" s="72"/>
      <c r="V30" s="72"/>
      <c r="W30" s="70">
        <f t="shared" si="2"/>
        <v>69830231</v>
      </c>
      <c r="X30" s="70"/>
      <c r="Y30" s="70">
        <f t="shared" si="7"/>
        <v>69830231</v>
      </c>
      <c r="Z30" s="70">
        <f>'[3]Pass-Through'!G14</f>
        <v>137003.56418000002</v>
      </c>
      <c r="AA30" s="70">
        <v>2516476</v>
      </c>
      <c r="AB30" s="70"/>
      <c r="AC30" s="40"/>
      <c r="AD30" s="40"/>
      <c r="AE30" s="40"/>
    </row>
    <row r="31" spans="1:31" ht="13.5" customHeight="1">
      <c r="A31" s="37">
        <v>4391</v>
      </c>
      <c r="B31" s="38" t="s">
        <v>199</v>
      </c>
      <c r="C31" s="39">
        <v>0.0062756894058598415</v>
      </c>
      <c r="D31" s="40">
        <f t="shared" si="6"/>
        <v>28410689</v>
      </c>
      <c r="E31" s="40">
        <f>'[1]1% Teeter Adj'!$I44</f>
        <v>5372.969999999999</v>
      </c>
      <c r="F31" s="40">
        <f t="shared" si="3"/>
        <v>28416061.97</v>
      </c>
      <c r="G31" s="40">
        <f t="shared" si="4"/>
        <v>-251028</v>
      </c>
      <c r="H31" s="40">
        <f>'[2]FY2018 RDA Roll Corr SEC'!$D73</f>
        <v>37225.32</v>
      </c>
      <c r="I31" s="40">
        <f>'[3]2018-19 Unitary 1% Tax'!G51</f>
        <v>228397</v>
      </c>
      <c r="J31" s="40"/>
      <c r="K31" s="41">
        <f t="shared" si="5"/>
        <v>28431000</v>
      </c>
      <c r="L31" s="40"/>
      <c r="M31" s="40">
        <f>1712569.67+230979.18</f>
        <v>1943548.8499999999</v>
      </c>
      <c r="N31" s="41">
        <f t="shared" si="0"/>
        <v>1943548.8499999999</v>
      </c>
      <c r="O31" s="40">
        <f t="shared" si="1"/>
        <v>30374548.85</v>
      </c>
      <c r="P31" s="40">
        <f>58564.34*2</f>
        <v>117128.68</v>
      </c>
      <c r="Q31" s="40"/>
      <c r="R31" s="40">
        <f>'[3]Supplemental '!V101</f>
        <v>1775000</v>
      </c>
      <c r="S31" s="40">
        <v>0</v>
      </c>
      <c r="T31" s="40"/>
      <c r="U31" s="40"/>
      <c r="V31" s="40"/>
      <c r="W31" s="42">
        <f t="shared" si="2"/>
        <v>32266678</v>
      </c>
      <c r="X31" s="42">
        <v>1048109.4</v>
      </c>
      <c r="Y31" s="42">
        <f t="shared" si="7"/>
        <v>33314787.4</v>
      </c>
      <c r="Z31" s="42"/>
      <c r="AA31" s="42"/>
      <c r="AB31" s="42"/>
      <c r="AC31" s="40"/>
      <c r="AD31" s="40"/>
      <c r="AE31" s="40"/>
    </row>
    <row r="32" spans="2:31" ht="13.5" customHeight="1">
      <c r="B32" s="74" t="s">
        <v>200</v>
      </c>
      <c r="C32" s="39"/>
      <c r="D32" s="75">
        <f aca="true" t="shared" si="8" ref="D32:L32">SUM(D11:D31)</f>
        <v>623789054</v>
      </c>
      <c r="E32" s="75">
        <f t="shared" si="8"/>
        <v>117642.31000000001</v>
      </c>
      <c r="F32" s="75">
        <f t="shared" si="8"/>
        <v>623906696.3100002</v>
      </c>
      <c r="G32" s="75">
        <f t="shared" si="8"/>
        <v>-5511598</v>
      </c>
      <c r="H32" s="75">
        <f t="shared" si="8"/>
        <v>815055.0100000001</v>
      </c>
      <c r="I32" s="75">
        <f t="shared" si="8"/>
        <v>5321295</v>
      </c>
      <c r="J32" s="75">
        <f t="shared" si="8"/>
        <v>-36327111.26</v>
      </c>
      <c r="K32" s="75">
        <f t="shared" si="8"/>
        <v>588206000</v>
      </c>
      <c r="L32" s="75">
        <f t="shared" si="8"/>
        <v>46269.46</v>
      </c>
      <c r="M32" s="75">
        <f>SUM(M11:M31)</f>
        <v>42678010.12</v>
      </c>
      <c r="N32" s="75">
        <f aca="true" t="shared" si="9" ref="N32:AB32">SUM(N11:N31)</f>
        <v>42724279.58</v>
      </c>
      <c r="O32" s="75">
        <f t="shared" si="9"/>
        <v>630930279.58</v>
      </c>
      <c r="P32" s="75">
        <f t="shared" si="9"/>
        <v>2553549.74</v>
      </c>
      <c r="Q32" s="75">
        <f t="shared" si="9"/>
        <v>7300</v>
      </c>
      <c r="R32" s="75">
        <f t="shared" si="9"/>
        <v>29756000</v>
      </c>
      <c r="S32" s="75">
        <f t="shared" si="9"/>
        <v>7000</v>
      </c>
      <c r="T32" s="75">
        <f t="shared" si="9"/>
        <v>0</v>
      </c>
      <c r="U32" s="75">
        <f t="shared" si="9"/>
        <v>0</v>
      </c>
      <c r="V32" s="75">
        <f t="shared" si="9"/>
        <v>0</v>
      </c>
      <c r="W32" s="75">
        <f t="shared" si="9"/>
        <v>663254130</v>
      </c>
      <c r="X32" s="75">
        <f t="shared" si="9"/>
        <v>22530635.4</v>
      </c>
      <c r="Y32" s="75">
        <f t="shared" si="9"/>
        <v>685784766.4</v>
      </c>
      <c r="Z32" s="75">
        <f t="shared" si="9"/>
        <v>1949971.2473999998</v>
      </c>
      <c r="AA32" s="75">
        <f t="shared" si="9"/>
        <v>7403373</v>
      </c>
      <c r="AB32" s="76">
        <f t="shared" si="9"/>
        <v>6548567.78</v>
      </c>
      <c r="AC32" s="40"/>
      <c r="AD32" s="40"/>
      <c r="AE32" s="40"/>
    </row>
    <row r="33" spans="3:31" ht="13.5" customHeight="1">
      <c r="C33" s="39"/>
      <c r="D33" s="40" t="s">
        <v>201</v>
      </c>
      <c r="E33" s="40"/>
      <c r="F33" s="40"/>
      <c r="G33" s="40"/>
      <c r="H33" s="40"/>
      <c r="I33" s="40"/>
      <c r="J33" s="40"/>
      <c r="K33" s="41"/>
      <c r="L33" s="40"/>
      <c r="M33" s="40"/>
      <c r="N33" s="41" t="s">
        <v>201</v>
      </c>
      <c r="O33" s="40"/>
      <c r="P33" s="40" t="s">
        <v>201</v>
      </c>
      <c r="Q33" s="40"/>
      <c r="R33" s="40"/>
      <c r="S33" s="40"/>
      <c r="T33" s="40"/>
      <c r="U33" s="40"/>
      <c r="V33" s="40"/>
      <c r="W33" s="42"/>
      <c r="X33" s="42"/>
      <c r="Y33" s="42"/>
      <c r="Z33" s="42"/>
      <c r="AA33" s="42"/>
      <c r="AB33" s="42"/>
      <c r="AC33" s="40"/>
      <c r="AD33" s="40"/>
      <c r="AE33" s="40"/>
    </row>
    <row r="34" spans="1:31" ht="13.5" customHeight="1">
      <c r="A34" s="37">
        <v>5511</v>
      </c>
      <c r="B34" s="71" t="s">
        <v>202</v>
      </c>
      <c r="C34" s="39">
        <v>0.0176098520232163</v>
      </c>
      <c r="D34" s="72">
        <f>ROUND($D$9*C34,0)</f>
        <v>79721605</v>
      </c>
      <c r="E34" s="72">
        <f>'[1]1% Teeter Adj'!$I55</f>
        <v>14973.07</v>
      </c>
      <c r="F34" s="72">
        <f t="shared" si="3"/>
        <v>79736578.07</v>
      </c>
      <c r="G34" s="72">
        <f t="shared" si="4"/>
        <v>-704394</v>
      </c>
      <c r="H34" s="72">
        <f>'[2]FY2018 RDA Roll Corr SEC'!$D$84</f>
        <v>103737.15</v>
      </c>
      <c r="I34" s="72">
        <f>'[3]2018-19 Unitary 1% Tax'!G52</f>
        <v>670140</v>
      </c>
      <c r="J34" s="72">
        <v>-1805539.79</v>
      </c>
      <c r="K34" s="73">
        <f>ROUND(SUM(F34:J34),-3)</f>
        <v>78001000</v>
      </c>
      <c r="L34" s="72"/>
      <c r="M34" s="72">
        <f>4804522.47+648137.42</f>
        <v>5452659.89</v>
      </c>
      <c r="N34" s="73">
        <f>SUM(L34:M34)</f>
        <v>5452659.89</v>
      </c>
      <c r="O34" s="72">
        <f>+K34+N34</f>
        <v>83453659.89</v>
      </c>
      <c r="P34" s="72">
        <f>160106.83*2</f>
        <v>320213.66</v>
      </c>
      <c r="Q34" s="72"/>
      <c r="R34" s="72">
        <f>'[3]Supplemental '!V115</f>
        <v>0</v>
      </c>
      <c r="S34" s="72">
        <v>0</v>
      </c>
      <c r="T34" s="72"/>
      <c r="U34" s="72"/>
      <c r="V34" s="72"/>
      <c r="W34" s="70">
        <f>ROUND(SUM(O34:S34),0)</f>
        <v>83773874</v>
      </c>
      <c r="X34" s="70"/>
      <c r="Y34" s="70">
        <f t="shared" si="7"/>
        <v>83773874</v>
      </c>
      <c r="Z34" s="70"/>
      <c r="AA34" s="70">
        <v>701755</v>
      </c>
      <c r="AB34" s="70">
        <v>35744.14</v>
      </c>
      <c r="AC34" s="40"/>
      <c r="AD34" s="40"/>
      <c r="AE34" s="40"/>
    </row>
    <row r="35" spans="1:31" ht="13.5" customHeight="1">
      <c r="A35" s="37">
        <v>5521</v>
      </c>
      <c r="B35" s="38" t="s">
        <v>203</v>
      </c>
      <c r="C35" s="39">
        <v>0.0273056405187148</v>
      </c>
      <c r="D35" s="40">
        <f t="shared" si="6"/>
        <v>123615433</v>
      </c>
      <c r="E35" s="40">
        <f>'[1]1% Teeter Adj'!$I56</f>
        <v>23519.17</v>
      </c>
      <c r="F35" s="40">
        <f t="shared" si="3"/>
        <v>123638952.17</v>
      </c>
      <c r="G35" s="40">
        <f t="shared" si="4"/>
        <v>-1092226</v>
      </c>
      <c r="H35" s="40">
        <f>'[2]FY2018 RDA Roll Corr SEC'!$D$85</f>
        <v>162946.66</v>
      </c>
      <c r="I35" s="40">
        <f>'[3]2018-19 Unitary 1% Tax'!G53</f>
        <v>1017024</v>
      </c>
      <c r="J35" s="40">
        <v>-24400727.84</v>
      </c>
      <c r="K35" s="41">
        <f>ROUND(SUM(F35:J35),-3)</f>
        <v>99326000</v>
      </c>
      <c r="L35" s="40">
        <f>38011.04+8258.42</f>
        <v>46269.46</v>
      </c>
      <c r="M35" s="40">
        <f>7452812.51+1004994.67</f>
        <v>8457807.18</v>
      </c>
      <c r="N35" s="41">
        <f>SUM(L35:M35)</f>
        <v>8504076.64</v>
      </c>
      <c r="O35" s="40">
        <f>+K35+N35</f>
        <v>107830076.64</v>
      </c>
      <c r="P35" s="40">
        <f>255420.65*2</f>
        <v>510841.3</v>
      </c>
      <c r="Q35" s="40"/>
      <c r="R35" s="40">
        <f>'[3]Supplemental '!V116</f>
        <v>8569000</v>
      </c>
      <c r="S35" s="40">
        <v>0</v>
      </c>
      <c r="T35" s="40"/>
      <c r="U35" s="40"/>
      <c r="V35" s="40"/>
      <c r="W35" s="42">
        <f>ROUND(SUM(O35:S35),0)</f>
        <v>116909918</v>
      </c>
      <c r="X35" s="42">
        <v>8774757.03</v>
      </c>
      <c r="Y35" s="42">
        <f t="shared" si="7"/>
        <v>125684675.03</v>
      </c>
      <c r="Z35" s="42">
        <f>'[3]Pass-Through'!$G$16</f>
        <v>2334384.9539099997</v>
      </c>
      <c r="AA35" s="42">
        <v>3882428</v>
      </c>
      <c r="AB35" s="42">
        <v>8983700.2</v>
      </c>
      <c r="AC35" s="40"/>
      <c r="AD35" s="40"/>
      <c r="AE35" s="40"/>
    </row>
    <row r="36" spans="1:31" ht="13.5" customHeight="1">
      <c r="A36" s="37">
        <v>5531</v>
      </c>
      <c r="B36" s="71" t="s">
        <v>204</v>
      </c>
      <c r="C36" s="39">
        <v>0.0282049436558051</v>
      </c>
      <c r="D36" s="72">
        <f>ROUND($D$9*C36,0)</f>
        <v>127686671</v>
      </c>
      <c r="E36" s="72">
        <f>'[1]1% Teeter Adj'!$I57</f>
        <v>23664.83</v>
      </c>
      <c r="F36" s="72">
        <f t="shared" si="3"/>
        <v>127710335.83</v>
      </c>
      <c r="G36" s="72">
        <f t="shared" si="4"/>
        <v>-1128198</v>
      </c>
      <c r="H36" s="72">
        <f>'[2]FY2018 RDA Roll Corr SEC'!$D$86</f>
        <v>163955.85</v>
      </c>
      <c r="I36" s="72">
        <f>'[3]2018-19 Unitary 1% Tax'!G54</f>
        <v>1138410</v>
      </c>
      <c r="J36" s="72">
        <v>-3059665.44</v>
      </c>
      <c r="K36" s="73">
        <f>ROUND(SUM(F36:J36),-3)</f>
        <v>124825000</v>
      </c>
      <c r="L36" s="72"/>
      <c r="M36" s="72">
        <f>7692078.21+1038093.87</f>
        <v>8730172.08</v>
      </c>
      <c r="N36" s="73">
        <f>SUM(L36:M36)</f>
        <v>8730172.08</v>
      </c>
      <c r="O36" s="72">
        <f>+K36+N36</f>
        <v>133555172.08</v>
      </c>
      <c r="P36" s="72">
        <f>256436.23*2</f>
        <v>512872.46</v>
      </c>
      <c r="Q36" s="72"/>
      <c r="R36" s="72">
        <f>'[3]Supplemental '!V117</f>
        <v>0</v>
      </c>
      <c r="S36" s="72">
        <v>0</v>
      </c>
      <c r="T36" s="72"/>
      <c r="U36" s="72"/>
      <c r="V36" s="72"/>
      <c r="W36" s="70">
        <f>ROUND(SUM(O36:S36),0)</f>
        <v>134068045</v>
      </c>
      <c r="X36" s="70"/>
      <c r="Y36" s="70">
        <f>SUM(W36:X36)-1</f>
        <v>134068044</v>
      </c>
      <c r="Z36" s="70">
        <f>'[3]Pass-Through'!G17</f>
        <v>118250.32552</v>
      </c>
      <c r="AA36" s="70">
        <v>2172017</v>
      </c>
      <c r="AB36" s="70"/>
      <c r="AC36" s="40"/>
      <c r="AD36" s="40"/>
      <c r="AE36" s="40"/>
    </row>
    <row r="37" spans="1:31" ht="13.5" customHeight="1">
      <c r="A37" s="37">
        <v>4561</v>
      </c>
      <c r="B37" s="71" t="s">
        <v>205</v>
      </c>
      <c r="C37" s="39">
        <v>0.00963470361065777</v>
      </c>
      <c r="D37" s="72">
        <f>ROUND($D$9*C37,0)</f>
        <v>43617291</v>
      </c>
      <c r="E37" s="72">
        <f>'[1]1% Teeter Adj'!$I45</f>
        <v>8264.45</v>
      </c>
      <c r="F37" s="72">
        <f t="shared" si="3"/>
        <v>43625555.45</v>
      </c>
      <c r="G37" s="72">
        <f t="shared" si="4"/>
        <v>-385388</v>
      </c>
      <c r="H37" s="72">
        <f>'[2]FY2018 RDA Roll Corr SEC'!$D$74</f>
        <v>57258.18</v>
      </c>
      <c r="I37" s="72">
        <f>'[3]2018-19 Unitary 1% Tax'!G55</f>
        <v>388268</v>
      </c>
      <c r="J37" s="72">
        <v>-2445747.21</v>
      </c>
      <c r="K37" s="73">
        <f>ROUND(SUM(F37:J37),-3)</f>
        <v>41240000</v>
      </c>
      <c r="L37" s="72"/>
      <c r="M37" s="72">
        <f>2629363.18+354609</f>
        <v>2983972.18</v>
      </c>
      <c r="N37" s="73">
        <f>SUM(L37:M37)</f>
        <v>2983972.18</v>
      </c>
      <c r="O37" s="72">
        <f>+K37+N37</f>
        <v>44223972.18</v>
      </c>
      <c r="P37" s="72">
        <f>87597.66*2</f>
        <v>175195.32</v>
      </c>
      <c r="Q37" s="72">
        <f>ROUND(2876+807.71,-2)</f>
        <v>3700</v>
      </c>
      <c r="R37" s="72">
        <f>'[3]Supplemental '!V103</f>
        <v>0</v>
      </c>
      <c r="S37" s="72">
        <v>0</v>
      </c>
      <c r="T37" s="72"/>
      <c r="U37" s="72"/>
      <c r="V37" s="72"/>
      <c r="W37" s="70">
        <f>ROUND(SUM(O37:S37),0)</f>
        <v>44402868</v>
      </c>
      <c r="X37" s="70"/>
      <c r="Y37" s="70">
        <f>SUM(W37:X37)-1</f>
        <v>44402867</v>
      </c>
      <c r="Z37" s="70"/>
      <c r="AA37" s="70">
        <v>179930</v>
      </c>
      <c r="AB37" s="70"/>
      <c r="AC37" s="40"/>
      <c r="AD37" s="40"/>
      <c r="AE37" s="40"/>
    </row>
    <row r="38" spans="1:31" ht="13.5" customHeight="1">
      <c r="A38" s="37">
        <v>4571</v>
      </c>
      <c r="B38" s="71" t="s">
        <v>206</v>
      </c>
      <c r="C38" s="39">
        <v>0.0168409026110769</v>
      </c>
      <c r="D38" s="72">
        <f t="shared" si="6"/>
        <v>76240492</v>
      </c>
      <c r="E38" s="72">
        <f>'[1]1% Teeter Adj'!$I46</f>
        <v>14533.78</v>
      </c>
      <c r="F38" s="72">
        <f t="shared" si="3"/>
        <v>76255025.78</v>
      </c>
      <c r="G38" s="72">
        <f t="shared" si="4"/>
        <v>-673636</v>
      </c>
      <c r="H38" s="72">
        <f>'[2]FY2018 RDA Roll Corr SEC'!$D$75</f>
        <v>100693.61</v>
      </c>
      <c r="I38" s="72">
        <f>'[3]2018-19 Unitary 1% Tax'!G56</f>
        <v>532252</v>
      </c>
      <c r="J38" s="72">
        <v>-5899919.02</v>
      </c>
      <c r="K38" s="73">
        <f>ROUND(SUM(F38:J38),-3)</f>
        <v>70314000</v>
      </c>
      <c r="L38" s="72"/>
      <c r="M38" s="72">
        <f>4596840.3+619835.94</f>
        <v>5216676.24</v>
      </c>
      <c r="N38" s="73">
        <f>SUM(L38:M38)</f>
        <v>5216676.24</v>
      </c>
      <c r="O38" s="72">
        <f>+K38+N38</f>
        <v>75530676.24</v>
      </c>
      <c r="P38" s="72">
        <f>153115.63*2</f>
        <v>306231.26</v>
      </c>
      <c r="Q38" s="72">
        <f>ROUND(825.65+231.88,-2)</f>
        <v>1100</v>
      </c>
      <c r="R38" s="72">
        <f>'[3]Supplemental '!V104</f>
        <v>0</v>
      </c>
      <c r="S38" s="72">
        <v>0</v>
      </c>
      <c r="T38" s="72"/>
      <c r="U38" s="72"/>
      <c r="V38" s="72"/>
      <c r="W38" s="70">
        <f>ROUND(SUM(O38:S38),0)</f>
        <v>75838008</v>
      </c>
      <c r="X38" s="70"/>
      <c r="Y38" s="70">
        <f>SUM(W38:X38)-1</f>
        <v>75838007</v>
      </c>
      <c r="Z38" s="70"/>
      <c r="AA38" s="70"/>
      <c r="AB38" s="70">
        <v>22078.8</v>
      </c>
      <c r="AC38" s="40"/>
      <c r="AD38" s="40"/>
      <c r="AE38" s="40"/>
    </row>
    <row r="39" spans="2:31" ht="13.5" customHeight="1">
      <c r="B39" s="74" t="s">
        <v>200</v>
      </c>
      <c r="C39" s="39"/>
      <c r="D39" s="77">
        <f>SUM(D34:D38)</f>
        <v>450881492</v>
      </c>
      <c r="E39" s="77">
        <f aca="true" t="shared" si="10" ref="E39:AB39">SUM(E34:E38)</f>
        <v>84955.3</v>
      </c>
      <c r="F39" s="77">
        <f t="shared" si="10"/>
        <v>450966447.29999995</v>
      </c>
      <c r="G39" s="77">
        <f t="shared" si="10"/>
        <v>-3983842</v>
      </c>
      <c r="H39" s="77">
        <f t="shared" si="10"/>
        <v>588591.4500000001</v>
      </c>
      <c r="I39" s="77">
        <f t="shared" si="10"/>
        <v>3746094</v>
      </c>
      <c r="J39" s="77">
        <f t="shared" si="10"/>
        <v>-37611599.3</v>
      </c>
      <c r="K39" s="77">
        <f t="shared" si="10"/>
        <v>413706000</v>
      </c>
      <c r="L39" s="77">
        <f t="shared" si="10"/>
        <v>46269.46</v>
      </c>
      <c r="M39" s="77">
        <f t="shared" si="10"/>
        <v>30841287.57</v>
      </c>
      <c r="N39" s="77">
        <f t="shared" si="10"/>
        <v>30887557.03</v>
      </c>
      <c r="O39" s="77">
        <f t="shared" si="10"/>
        <v>444593557.03000003</v>
      </c>
      <c r="P39" s="77">
        <f t="shared" si="10"/>
        <v>1825354</v>
      </c>
      <c r="Q39" s="77">
        <f t="shared" si="10"/>
        <v>4800</v>
      </c>
      <c r="R39" s="77">
        <f t="shared" si="10"/>
        <v>8569000</v>
      </c>
      <c r="S39" s="77">
        <f t="shared" si="10"/>
        <v>0</v>
      </c>
      <c r="T39" s="77">
        <f t="shared" si="10"/>
        <v>0</v>
      </c>
      <c r="U39" s="77">
        <f t="shared" si="10"/>
        <v>0</v>
      </c>
      <c r="V39" s="77">
        <f t="shared" si="10"/>
        <v>0</v>
      </c>
      <c r="W39" s="77">
        <f t="shared" si="10"/>
        <v>454992713</v>
      </c>
      <c r="X39" s="77">
        <f t="shared" si="10"/>
        <v>8774757.03</v>
      </c>
      <c r="Y39" s="77">
        <f t="shared" si="10"/>
        <v>463767467.03</v>
      </c>
      <c r="Z39" s="77">
        <f t="shared" si="10"/>
        <v>2452635.2794299996</v>
      </c>
      <c r="AA39" s="77">
        <f t="shared" si="10"/>
        <v>6936130</v>
      </c>
      <c r="AB39" s="78">
        <f t="shared" si="10"/>
        <v>9041523.14</v>
      </c>
      <c r="AC39" s="40"/>
      <c r="AD39" s="40"/>
      <c r="AE39" s="40"/>
    </row>
    <row r="40" spans="3:31" ht="13.5" customHeight="1">
      <c r="C40" s="39"/>
      <c r="D40" s="40"/>
      <c r="E40" s="40"/>
      <c r="F40" s="40"/>
      <c r="G40" s="40"/>
      <c r="H40" s="40"/>
      <c r="I40" s="40"/>
      <c r="J40" s="40"/>
      <c r="K40" s="41"/>
      <c r="L40" s="40"/>
      <c r="M40" s="40"/>
      <c r="N40" s="41"/>
      <c r="O40" s="40"/>
      <c r="P40" s="40"/>
      <c r="Q40" s="40"/>
      <c r="R40" s="40"/>
      <c r="S40" s="40"/>
      <c r="T40" s="40"/>
      <c r="U40" s="40"/>
      <c r="V40" s="40"/>
      <c r="W40" s="42"/>
      <c r="X40" s="42"/>
      <c r="Y40" s="42"/>
      <c r="Z40" s="42"/>
      <c r="AA40" s="42"/>
      <c r="AB40" s="42"/>
      <c r="AC40" s="40"/>
      <c r="AD40" s="40"/>
      <c r="AE40" s="40"/>
    </row>
    <row r="41" spans="1:31" ht="13.5" customHeight="1">
      <c r="A41" s="37">
        <v>4831</v>
      </c>
      <c r="B41" s="38" t="s">
        <v>207</v>
      </c>
      <c r="C41" s="39">
        <v>0.0107086414404185</v>
      </c>
      <c r="D41" s="40">
        <f t="shared" si="6"/>
        <v>48479117</v>
      </c>
      <c r="E41" s="40">
        <f>'[1]1% Teeter Adj'!$I$50</f>
        <v>9169.61</v>
      </c>
      <c r="F41" s="40">
        <f t="shared" si="3"/>
        <v>48488286.61</v>
      </c>
      <c r="G41" s="40">
        <f t="shared" si="4"/>
        <v>-428346</v>
      </c>
      <c r="H41" s="40">
        <f>'[2]FY2018 RDA Roll Corr SEC'!$D$79</f>
        <v>63529.34</v>
      </c>
      <c r="I41" s="40">
        <f>'[3]2018-19 Unitary 1% Tax'!$G$33</f>
        <v>522686</v>
      </c>
      <c r="J41" s="40"/>
      <c r="K41" s="41">
        <f aca="true" t="shared" si="11" ref="K41:K47">ROUND(SUM(F41:J41),-3)</f>
        <v>48646000</v>
      </c>
      <c r="L41" s="40"/>
      <c r="M41" s="40">
        <f>2922288.74+394135.69</f>
        <v>3316424.43</v>
      </c>
      <c r="N41" s="41">
        <f aca="true" t="shared" si="12" ref="N41:N47">SUM(L41:M41)</f>
        <v>3316424.43</v>
      </c>
      <c r="O41" s="40">
        <f aca="true" t="shared" si="13" ref="O41:O47">+K41+N41</f>
        <v>51962424.43</v>
      </c>
      <c r="P41" s="40">
        <f>100393.71*2</f>
        <v>200787.42</v>
      </c>
      <c r="Q41" s="40">
        <f>ROUND(3635.6+1021.04,-2)</f>
        <v>4700</v>
      </c>
      <c r="R41" s="40">
        <f>'[3]Supplemental '!V108</f>
        <v>3621000</v>
      </c>
      <c r="S41" s="40">
        <v>0</v>
      </c>
      <c r="T41" s="40"/>
      <c r="U41" s="40"/>
      <c r="V41" s="40"/>
      <c r="W41" s="42">
        <f aca="true" t="shared" si="14" ref="W41:W47">ROUND(SUM(O41:S41),0)</f>
        <v>55788912</v>
      </c>
      <c r="X41" s="42">
        <v>3667267.8899999997</v>
      </c>
      <c r="Y41" s="42">
        <f>SUM(W41:X41)-1</f>
        <v>59456178.89</v>
      </c>
      <c r="Z41" s="42"/>
      <c r="AA41" s="42"/>
      <c r="AB41" s="42"/>
      <c r="AC41" s="40"/>
      <c r="AD41" s="40"/>
      <c r="AE41" s="40"/>
    </row>
    <row r="42" spans="1:31" ht="13.5" customHeight="1">
      <c r="A42" s="37">
        <v>4851</v>
      </c>
      <c r="B42" s="38" t="s">
        <v>208</v>
      </c>
      <c r="C42" s="39">
        <v>0.015126272627085501</v>
      </c>
      <c r="D42" s="40">
        <f t="shared" si="6"/>
        <v>68478187</v>
      </c>
      <c r="E42" s="40">
        <f>'[1]1% Teeter Adj'!$I$52</f>
        <v>13249.65</v>
      </c>
      <c r="F42" s="40">
        <f t="shared" si="3"/>
        <v>68491436.65</v>
      </c>
      <c r="G42" s="40">
        <f t="shared" si="4"/>
        <v>-605051</v>
      </c>
      <c r="H42" s="40">
        <f>'[2]FY2018 RDA Roll Corr SEC'!$D$81</f>
        <v>91796.87</v>
      </c>
      <c r="I42" s="40">
        <f>'[3]2018-19 Unitary 1% Tax'!$G$40</f>
        <v>541498</v>
      </c>
      <c r="J42" s="40">
        <v>-28325070.09</v>
      </c>
      <c r="K42" s="41">
        <f t="shared" si="11"/>
        <v>40195000</v>
      </c>
      <c r="L42" s="40"/>
      <c r="M42" s="40">
        <f>4130745.57+556728.32</f>
        <v>4687473.89</v>
      </c>
      <c r="N42" s="41">
        <f t="shared" si="12"/>
        <v>4687473.89</v>
      </c>
      <c r="O42" s="40">
        <f t="shared" si="13"/>
        <v>44882473.89</v>
      </c>
      <c r="P42" s="40">
        <f>140211.03*2</f>
        <v>280422.06</v>
      </c>
      <c r="Q42" s="40"/>
      <c r="R42" s="40">
        <f>'[3]Supplemental '!V110</f>
        <v>3216000</v>
      </c>
      <c r="S42" s="40">
        <v>0</v>
      </c>
      <c r="T42" s="40"/>
      <c r="U42" s="40"/>
      <c r="V42" s="40"/>
      <c r="W42" s="42">
        <f t="shared" si="14"/>
        <v>48378896</v>
      </c>
      <c r="X42" s="42">
        <v>1123186.74</v>
      </c>
      <c r="Y42" s="42">
        <f t="shared" si="7"/>
        <v>49502082.74</v>
      </c>
      <c r="Z42" s="42">
        <f>'[3]Pass-Through'!$G$19</f>
        <v>3422778.23546</v>
      </c>
      <c r="AA42" s="42">
        <v>15168889</v>
      </c>
      <c r="AB42" s="42"/>
      <c r="AC42" s="40"/>
      <c r="AD42" s="40"/>
      <c r="AE42" s="40"/>
    </row>
    <row r="43" spans="1:31" ht="13.5" customHeight="1">
      <c r="A43" s="37">
        <v>4841</v>
      </c>
      <c r="B43" s="38" t="s">
        <v>209</v>
      </c>
      <c r="C43" s="39">
        <v>0.013460886437188499</v>
      </c>
      <c r="D43" s="40">
        <f t="shared" si="6"/>
        <v>60938813</v>
      </c>
      <c r="E43" s="40">
        <f>'[1]1% Teeter Adj'!$I$51</f>
        <v>11614.02</v>
      </c>
      <c r="F43" s="40">
        <f t="shared" si="3"/>
        <v>60950427.02</v>
      </c>
      <c r="G43" s="40">
        <f t="shared" si="4"/>
        <v>-538435</v>
      </c>
      <c r="H43" s="40">
        <f>'[2]FY2018 RDA Roll Corr SEC'!$D$80</f>
        <v>80464.84</v>
      </c>
      <c r="I43" s="40">
        <f>'[3]2018-19 Unitary 1% Tax'!$G$36</f>
        <v>621743</v>
      </c>
      <c r="J43" s="40">
        <v>-13233724.75</v>
      </c>
      <c r="K43" s="41">
        <f t="shared" si="11"/>
        <v>47880000</v>
      </c>
      <c r="L43" s="40">
        <f>79684.13+6748.55</f>
        <v>86432.68000000001</v>
      </c>
      <c r="M43" s="40">
        <f>3674214.21+495433.14</f>
        <v>4169647.35</v>
      </c>
      <c r="N43" s="41">
        <f t="shared" si="12"/>
        <v>4256080.03</v>
      </c>
      <c r="O43" s="40">
        <f t="shared" si="13"/>
        <v>52136080.03</v>
      </c>
      <c r="P43" s="40">
        <f>124752.26*2</f>
        <v>249504.52</v>
      </c>
      <c r="Q43" s="40">
        <f>ROUND(858.67+241.45,-2)</f>
        <v>1100</v>
      </c>
      <c r="R43" s="40">
        <f>'[3]Supplemental '!V109</f>
        <v>2856000</v>
      </c>
      <c r="S43" s="40">
        <v>0</v>
      </c>
      <c r="T43" s="40"/>
      <c r="U43" s="40"/>
      <c r="V43" s="40"/>
      <c r="W43" s="42">
        <f t="shared" si="14"/>
        <v>55242685</v>
      </c>
      <c r="X43" s="42">
        <v>754490.1</v>
      </c>
      <c r="Y43" s="42">
        <f t="shared" si="7"/>
        <v>55997175.1</v>
      </c>
      <c r="Z43" s="42">
        <f>'[3]Pass-Through'!$G$20</f>
        <v>1552163.5778700002</v>
      </c>
      <c r="AA43" s="42">
        <v>7030629</v>
      </c>
      <c r="AB43" s="42">
        <v>1428836.44</v>
      </c>
      <c r="AC43" s="40"/>
      <c r="AD43" s="40"/>
      <c r="AE43" s="40"/>
    </row>
    <row r="44" spans="1:31" ht="13.5" customHeight="1">
      <c r="A44" s="37">
        <v>4811</v>
      </c>
      <c r="B44" s="71" t="s">
        <v>210</v>
      </c>
      <c r="C44" s="39">
        <v>0.0377094306965798</v>
      </c>
      <c r="D44" s="72">
        <f t="shared" si="6"/>
        <v>170714458</v>
      </c>
      <c r="E44" s="72">
        <f>'[1]1% Teeter Adj'!$I$48</f>
        <v>32211.390000000003</v>
      </c>
      <c r="F44" s="72">
        <f t="shared" si="3"/>
        <v>170746669.39</v>
      </c>
      <c r="G44" s="72">
        <f t="shared" si="4"/>
        <v>-1508377</v>
      </c>
      <c r="H44" s="72">
        <f>'[2]FY2018 RDA Roll Corr SEC'!$D$77</f>
        <v>223168.44</v>
      </c>
      <c r="I44" s="72">
        <f>'[3]2018-19 Unitary 1% Tax'!$G$46</f>
        <v>1399507</v>
      </c>
      <c r="J44" s="72"/>
      <c r="K44" s="73">
        <f t="shared" si="11"/>
        <v>170861000</v>
      </c>
      <c r="L44" s="72">
        <f>208943.93+20607.97</f>
        <v>229551.9</v>
      </c>
      <c r="M44" s="72">
        <f>10289780.55+1387910.2</f>
        <v>11677690.75</v>
      </c>
      <c r="N44" s="73">
        <f t="shared" si="12"/>
        <v>11907242.65</v>
      </c>
      <c r="O44" s="72">
        <f t="shared" si="13"/>
        <v>182768242.65</v>
      </c>
      <c r="P44" s="72">
        <f>342849.98*2</f>
        <v>685699.96</v>
      </c>
      <c r="Q44" s="72"/>
      <c r="R44" s="72">
        <f>'[3]Supplemental '!V106</f>
        <v>0</v>
      </c>
      <c r="S44" s="72">
        <v>0</v>
      </c>
      <c r="T44" s="72"/>
      <c r="U44" s="72"/>
      <c r="V44" s="72"/>
      <c r="W44" s="70">
        <f t="shared" si="14"/>
        <v>183453943</v>
      </c>
      <c r="X44" s="70"/>
      <c r="Y44" s="70">
        <f t="shared" si="7"/>
        <v>183453943</v>
      </c>
      <c r="Z44" s="70"/>
      <c r="AA44" s="70"/>
      <c r="AB44" s="70"/>
      <c r="AC44" s="40"/>
      <c r="AD44" s="40"/>
      <c r="AE44" s="40"/>
    </row>
    <row r="45" spans="1:31" ht="13.5" customHeight="1">
      <c r="A45" s="37">
        <v>9523</v>
      </c>
      <c r="B45" s="38" t="s">
        <v>211</v>
      </c>
      <c r="C45" s="39">
        <v>3.638702606504E-05</v>
      </c>
      <c r="D45" s="40">
        <f t="shared" si="6"/>
        <v>164728</v>
      </c>
      <c r="E45" s="40">
        <f>'[1]1% Teeter Adj'!$I$96</f>
        <v>32.25</v>
      </c>
      <c r="F45" s="40">
        <f t="shared" si="3"/>
        <v>164760.25</v>
      </c>
      <c r="G45" s="40">
        <f t="shared" si="4"/>
        <v>-1455</v>
      </c>
      <c r="H45" s="40">
        <f>'[2]FY2018 RDA Roll Corr SEC'!$D$125</f>
        <v>223.44</v>
      </c>
      <c r="I45" s="40">
        <f>'[3]2018-19 Unitary 1% Tax'!$G$34</f>
        <v>10048</v>
      </c>
      <c r="J45" s="40"/>
      <c r="K45" s="41">
        <f t="shared" si="11"/>
        <v>174000</v>
      </c>
      <c r="L45" s="40"/>
      <c r="M45" s="40">
        <f>9940.44+1339.24</f>
        <v>11279.68</v>
      </c>
      <c r="N45" s="41">
        <f t="shared" si="12"/>
        <v>11279.68</v>
      </c>
      <c r="O45" s="40">
        <f t="shared" si="13"/>
        <v>185279.68</v>
      </c>
      <c r="P45" s="40">
        <f>330.83*2</f>
        <v>661.66</v>
      </c>
      <c r="Q45" s="40"/>
      <c r="R45" s="40">
        <f>'[3]Supplemental '!V124</f>
        <v>0</v>
      </c>
      <c r="S45" s="40">
        <v>0</v>
      </c>
      <c r="T45" s="40"/>
      <c r="U45" s="40"/>
      <c r="V45" s="40"/>
      <c r="W45" s="42">
        <f>ROUND(SUM(O45:S45),0)+1</f>
        <v>185942</v>
      </c>
      <c r="X45" s="42">
        <v>0</v>
      </c>
      <c r="Y45" s="42">
        <f>SUM(W45:X45)</f>
        <v>185942</v>
      </c>
      <c r="Z45" s="42"/>
      <c r="AA45" s="42"/>
      <c r="AB45" s="42"/>
      <c r="AC45" s="40"/>
      <c r="AD45" s="40"/>
      <c r="AE45" s="40"/>
    </row>
    <row r="46" spans="1:31" ht="13.5" customHeight="1">
      <c r="A46" s="37">
        <v>4821</v>
      </c>
      <c r="B46" s="38" t="s">
        <v>212</v>
      </c>
      <c r="C46" s="39">
        <v>0.05078575305995191</v>
      </c>
      <c r="D46" s="40">
        <f t="shared" si="6"/>
        <v>229912309</v>
      </c>
      <c r="E46" s="40">
        <f>'[1]1% Teeter Adj'!$I$49</f>
        <v>43097.840000000004</v>
      </c>
      <c r="F46" s="40">
        <f t="shared" si="3"/>
        <v>229955406.84</v>
      </c>
      <c r="G46" s="40">
        <f t="shared" si="4"/>
        <v>-2031430</v>
      </c>
      <c r="H46" s="40">
        <f>'[2]FY2018 RDA Roll Corr SEC'!$D$78</f>
        <v>298592.49</v>
      </c>
      <c r="I46" s="40">
        <f>'[3]2018-19 Unitary 1% Tax'!G47</f>
        <v>3080766</v>
      </c>
      <c r="J46" s="40">
        <v>-25889931.84</v>
      </c>
      <c r="K46" s="41">
        <f t="shared" si="11"/>
        <v>205413000</v>
      </c>
      <c r="L46" s="40">
        <f>2251458.39+117258.53</f>
        <v>2368716.92</v>
      </c>
      <c r="M46" s="40">
        <f>13855130.68+1869189.3</f>
        <v>15724319.98</v>
      </c>
      <c r="N46" s="41">
        <f t="shared" si="12"/>
        <v>18093036.9</v>
      </c>
      <c r="O46" s="40">
        <f t="shared" si="13"/>
        <v>223506036.9</v>
      </c>
      <c r="P46" s="40">
        <f>470464.1*2</f>
        <v>940928.2</v>
      </c>
      <c r="Q46" s="40"/>
      <c r="R46" s="40">
        <f>'[3]Supplemental '!V107</f>
        <v>10655000</v>
      </c>
      <c r="S46" s="40">
        <v>0</v>
      </c>
      <c r="T46" s="40"/>
      <c r="U46" s="40"/>
      <c r="V46" s="40"/>
      <c r="W46" s="42">
        <f t="shared" si="14"/>
        <v>235101965</v>
      </c>
      <c r="X46" s="42">
        <v>316662.83999999997</v>
      </c>
      <c r="Y46" s="42">
        <f t="shared" si="7"/>
        <v>235418627.84</v>
      </c>
      <c r="Z46" s="42">
        <f>'[3]Pass-Through'!$G$21</f>
        <v>2612828.60893</v>
      </c>
      <c r="AA46" s="42">
        <v>3983110</v>
      </c>
      <c r="AB46" s="42">
        <v>9593886.87</v>
      </c>
      <c r="AC46" s="40"/>
      <c r="AD46" s="40"/>
      <c r="AE46" s="40"/>
    </row>
    <row r="47" spans="1:31" s="44" customFormat="1" ht="13.5" customHeight="1">
      <c r="A47" s="43">
        <v>4881</v>
      </c>
      <c r="B47" s="79" t="s">
        <v>5</v>
      </c>
      <c r="C47" s="45">
        <v>0.0496118453925568</v>
      </c>
      <c r="D47" s="47">
        <f t="shared" si="6"/>
        <v>224597909</v>
      </c>
      <c r="E47" s="47">
        <f>'[1]1% Teeter Adj'!$I$53</f>
        <v>41280.78</v>
      </c>
      <c r="F47" s="47">
        <f t="shared" si="3"/>
        <v>224639189.78</v>
      </c>
      <c r="G47" s="47">
        <f t="shared" si="4"/>
        <v>-1984474</v>
      </c>
      <c r="H47" s="47">
        <f>'[2]FY2018 RDA Roll Corr SEC'!$D$82</f>
        <v>286003.48</v>
      </c>
      <c r="I47" s="47">
        <f>'[3]2018-19 Unitary 1% Tax'!G48</f>
        <v>1511333</v>
      </c>
      <c r="J47" s="47">
        <v>-67566726.2</v>
      </c>
      <c r="K47" s="80">
        <f t="shared" si="11"/>
        <v>156885000</v>
      </c>
      <c r="L47" s="47"/>
      <c r="M47" s="47">
        <f>13526791.21+1825983.18</f>
        <v>15352774.39</v>
      </c>
      <c r="N47" s="80">
        <f t="shared" si="12"/>
        <v>15352774.39</v>
      </c>
      <c r="O47" s="47">
        <f t="shared" si="13"/>
        <v>172237774.39</v>
      </c>
      <c r="P47" s="47">
        <f>451065.43*2</f>
        <v>902130.86</v>
      </c>
      <c r="Q47" s="47"/>
      <c r="R47" s="47">
        <f>'[3]Supplemental '!V111</f>
        <v>0</v>
      </c>
      <c r="S47" s="47">
        <v>0</v>
      </c>
      <c r="T47" s="47"/>
      <c r="U47" s="47"/>
      <c r="V47" s="47"/>
      <c r="W47" s="81">
        <f t="shared" si="14"/>
        <v>173139905</v>
      </c>
      <c r="X47" s="81"/>
      <c r="Y47" s="81">
        <f t="shared" si="7"/>
        <v>173139905</v>
      </c>
      <c r="Z47" s="81">
        <v>3362921.27</v>
      </c>
      <c r="AA47" s="81">
        <v>14060755</v>
      </c>
      <c r="AB47" s="81">
        <v>21782828.88</v>
      </c>
      <c r="AC47" s="46"/>
      <c r="AD47" s="46"/>
      <c r="AE47" s="46"/>
    </row>
    <row r="48" spans="2:31" ht="13.5" customHeight="1">
      <c r="B48" s="74" t="s">
        <v>200</v>
      </c>
      <c r="C48" s="39"/>
      <c r="D48" s="77">
        <f>SUM(D41:D47)</f>
        <v>803285521</v>
      </c>
      <c r="E48" s="77">
        <f aca="true" t="shared" si="15" ref="E48:AB48">SUM(E41:E47)</f>
        <v>150655.54</v>
      </c>
      <c r="F48" s="77">
        <f t="shared" si="15"/>
        <v>803436176.54</v>
      </c>
      <c r="G48" s="77">
        <f t="shared" si="15"/>
        <v>-7097568</v>
      </c>
      <c r="H48" s="77">
        <f t="shared" si="15"/>
        <v>1043778.8999999999</v>
      </c>
      <c r="I48" s="77">
        <f t="shared" si="15"/>
        <v>7687581</v>
      </c>
      <c r="J48" s="77">
        <f t="shared" si="15"/>
        <v>-135015452.88</v>
      </c>
      <c r="K48" s="77">
        <f t="shared" si="15"/>
        <v>670054000</v>
      </c>
      <c r="L48" s="77">
        <f t="shared" si="15"/>
        <v>2684701.5</v>
      </c>
      <c r="M48" s="77">
        <f t="shared" si="15"/>
        <v>54939610.47</v>
      </c>
      <c r="N48" s="77">
        <f t="shared" si="15"/>
        <v>57624311.97</v>
      </c>
      <c r="O48" s="77">
        <f t="shared" si="15"/>
        <v>727678311.97</v>
      </c>
      <c r="P48" s="77">
        <f t="shared" si="15"/>
        <v>3260134.6799999997</v>
      </c>
      <c r="Q48" s="77">
        <f t="shared" si="15"/>
        <v>5800</v>
      </c>
      <c r="R48" s="77">
        <f t="shared" si="15"/>
        <v>20348000</v>
      </c>
      <c r="S48" s="77">
        <f t="shared" si="15"/>
        <v>0</v>
      </c>
      <c r="T48" s="77">
        <f t="shared" si="15"/>
        <v>0</v>
      </c>
      <c r="U48" s="77">
        <f t="shared" si="15"/>
        <v>0</v>
      </c>
      <c r="V48" s="77">
        <f t="shared" si="15"/>
        <v>0</v>
      </c>
      <c r="W48" s="77">
        <f t="shared" si="15"/>
        <v>751292248</v>
      </c>
      <c r="X48" s="77">
        <f t="shared" si="15"/>
        <v>5861607.569999999</v>
      </c>
      <c r="Y48" s="77">
        <f t="shared" si="15"/>
        <v>757153854.57</v>
      </c>
      <c r="Z48" s="77">
        <f t="shared" si="15"/>
        <v>10950691.69226</v>
      </c>
      <c r="AA48" s="77">
        <f t="shared" si="15"/>
        <v>40243383</v>
      </c>
      <c r="AB48" s="78">
        <f t="shared" si="15"/>
        <v>32805552.189999998</v>
      </c>
      <c r="AC48" s="40"/>
      <c r="AD48" s="40"/>
      <c r="AE48" s="40"/>
    </row>
    <row r="49" spans="3:31" ht="13.5" customHeight="1">
      <c r="C49" s="39"/>
      <c r="D49" s="40" t="s">
        <v>201</v>
      </c>
      <c r="E49" s="40"/>
      <c r="F49" s="40"/>
      <c r="G49" s="40"/>
      <c r="H49" s="40"/>
      <c r="I49" s="40"/>
      <c r="J49" s="40"/>
      <c r="K49" s="41"/>
      <c r="L49" s="40"/>
      <c r="M49" s="40"/>
      <c r="N49" s="41" t="s">
        <v>201</v>
      </c>
      <c r="O49" s="40"/>
      <c r="P49" s="40" t="s">
        <v>201</v>
      </c>
      <c r="Q49" s="40"/>
      <c r="R49" s="40"/>
      <c r="S49" s="40"/>
      <c r="T49" s="40"/>
      <c r="U49" s="40"/>
      <c r="V49" s="40"/>
      <c r="W49" s="42"/>
      <c r="X49" s="42"/>
      <c r="Y49" s="42"/>
      <c r="Z49" s="42"/>
      <c r="AA49" s="42"/>
      <c r="AB49" s="42"/>
      <c r="AC49" s="40"/>
      <c r="AD49" s="40"/>
      <c r="AE49" s="40"/>
    </row>
    <row r="50" spans="1:31" ht="13.5" customHeight="1">
      <c r="A50" s="37">
        <v>4900</v>
      </c>
      <c r="B50" s="38" t="s">
        <v>213</v>
      </c>
      <c r="C50" s="39">
        <v>0.0351767438968038</v>
      </c>
      <c r="D50" s="40">
        <f>ROUND($D$9*C50,0)</f>
        <v>159248725</v>
      </c>
      <c r="E50" s="40">
        <f>'[1]1% Teeter Adj'!$I$54</f>
        <v>29930.28</v>
      </c>
      <c r="F50" s="40">
        <f t="shared" si="3"/>
        <v>159278655.28</v>
      </c>
      <c r="G50" s="40">
        <f t="shared" si="4"/>
        <v>-1407070</v>
      </c>
      <c r="H50" s="40">
        <f>'[2]FY2018 RDA Roll Corr SEC'!$D$83</f>
        <v>207364.36</v>
      </c>
      <c r="I50" s="40">
        <f>'[3]2018-19 Unitary 1% Tax'!$G$64</f>
        <v>1381961</v>
      </c>
      <c r="J50" s="40">
        <v>-19229052.58</v>
      </c>
      <c r="K50" s="41">
        <f>ROUND(SUM(F50:J50),-3)</f>
        <v>140232000</v>
      </c>
      <c r="L50" s="40"/>
      <c r="M50" s="40">
        <f>9597527.4+1294693.68</f>
        <v>10892221.08</v>
      </c>
      <c r="N50" s="41">
        <f>SUM(L50:M50)</f>
        <v>10892221.08</v>
      </c>
      <c r="O50" s="40">
        <f>+K50+N50</f>
        <v>151124221.08</v>
      </c>
      <c r="P50" s="40">
        <f>323891.01*2</f>
        <v>647782.02</v>
      </c>
      <c r="Q50" s="40">
        <f>ROUND(231.18+64.93,-2)</f>
        <v>300</v>
      </c>
      <c r="R50" s="40">
        <f>'[3]Supplemental '!V112</f>
        <v>4965000</v>
      </c>
      <c r="S50" s="40">
        <v>0</v>
      </c>
      <c r="T50" s="40"/>
      <c r="U50" s="40"/>
      <c r="V50" s="40"/>
      <c r="W50" s="42">
        <f>ROUND(SUM(O50:S50),0)</f>
        <v>156737303</v>
      </c>
      <c r="X50" s="42">
        <v>280500000</v>
      </c>
      <c r="Y50" s="42">
        <f t="shared" si="7"/>
        <v>437237303</v>
      </c>
      <c r="Z50" s="42">
        <v>599422.44</v>
      </c>
      <c r="AA50" s="42">
        <v>4867069</v>
      </c>
      <c r="AB50" s="42">
        <v>4666215.3</v>
      </c>
      <c r="AC50" s="40"/>
      <c r="AD50" s="40"/>
      <c r="AE50" s="40"/>
    </row>
    <row r="51" spans="3:31" ht="13.5" customHeight="1">
      <c r="C51" s="39"/>
      <c r="D51" s="40"/>
      <c r="E51" s="40"/>
      <c r="F51" s="40"/>
      <c r="G51" s="40"/>
      <c r="H51" s="40"/>
      <c r="I51" s="40"/>
      <c r="J51" s="40"/>
      <c r="K51" s="41"/>
      <c r="L51" s="40"/>
      <c r="M51" s="40"/>
      <c r="N51" s="41"/>
      <c r="O51" s="40"/>
      <c r="P51" s="40"/>
      <c r="Q51" s="40"/>
      <c r="R51" s="40"/>
      <c r="S51" s="40"/>
      <c r="T51" s="40"/>
      <c r="U51" s="40"/>
      <c r="V51" s="40"/>
      <c r="W51" s="42"/>
      <c r="X51" s="42"/>
      <c r="Y51" s="42"/>
      <c r="Z51" s="42"/>
      <c r="AA51" s="42"/>
      <c r="AB51" s="42"/>
      <c r="AC51" s="40"/>
      <c r="AD51" s="40"/>
      <c r="AE51" s="40"/>
    </row>
    <row r="52" spans="2:31" ht="13.5" customHeight="1">
      <c r="B52" s="38" t="s">
        <v>214</v>
      </c>
      <c r="C52" s="48">
        <f>SUM(C11:C51)</f>
        <v>0.45000191483439833</v>
      </c>
      <c r="D52" s="75">
        <f>D32+D39+D48+D50</f>
        <v>2037204792</v>
      </c>
      <c r="E52" s="75">
        <f aca="true" t="shared" si="16" ref="E52:AB52">E32+E39+E48+E50</f>
        <v>383183.43000000005</v>
      </c>
      <c r="F52" s="75">
        <f t="shared" si="16"/>
        <v>2037587975.43</v>
      </c>
      <c r="G52" s="75">
        <f t="shared" si="16"/>
        <v>-18000078</v>
      </c>
      <c r="H52" s="75">
        <f t="shared" si="16"/>
        <v>2654789.72</v>
      </c>
      <c r="I52" s="75">
        <f t="shared" si="16"/>
        <v>18136931</v>
      </c>
      <c r="J52" s="75">
        <f t="shared" si="16"/>
        <v>-228183216.01999998</v>
      </c>
      <c r="K52" s="75">
        <f t="shared" si="16"/>
        <v>1812198000</v>
      </c>
      <c r="L52" s="75">
        <f t="shared" si="16"/>
        <v>2777240.42</v>
      </c>
      <c r="M52" s="75">
        <f t="shared" si="16"/>
        <v>139351129.24</v>
      </c>
      <c r="N52" s="75">
        <f t="shared" si="16"/>
        <v>142128369.66</v>
      </c>
      <c r="O52" s="75">
        <f t="shared" si="16"/>
        <v>1954326369.66</v>
      </c>
      <c r="P52" s="75">
        <f t="shared" si="16"/>
        <v>8286820.4399999995</v>
      </c>
      <c r="Q52" s="75">
        <f t="shared" si="16"/>
        <v>18200</v>
      </c>
      <c r="R52" s="75">
        <f t="shared" si="16"/>
        <v>63638000</v>
      </c>
      <c r="S52" s="75">
        <f t="shared" si="16"/>
        <v>7000</v>
      </c>
      <c r="T52" s="75">
        <f t="shared" si="16"/>
        <v>0</v>
      </c>
      <c r="U52" s="75">
        <f t="shared" si="16"/>
        <v>0</v>
      </c>
      <c r="V52" s="75">
        <f t="shared" si="16"/>
        <v>0</v>
      </c>
      <c r="W52" s="75">
        <f t="shared" si="16"/>
        <v>2026276394</v>
      </c>
      <c r="X52" s="75">
        <f t="shared" si="16"/>
        <v>317667000</v>
      </c>
      <c r="Y52" s="75">
        <f t="shared" si="16"/>
        <v>2343943391</v>
      </c>
      <c r="Z52" s="75">
        <f t="shared" si="16"/>
        <v>15952720.65909</v>
      </c>
      <c r="AA52" s="75">
        <f t="shared" si="16"/>
        <v>59449955</v>
      </c>
      <c r="AB52" s="75">
        <f t="shared" si="16"/>
        <v>53061858.41</v>
      </c>
      <c r="AC52" s="40"/>
      <c r="AD52" s="40"/>
      <c r="AE52" s="40"/>
    </row>
    <row r="53" spans="4:31" ht="13.5" customHeight="1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Y53" s="40"/>
      <c r="Z53" s="40"/>
      <c r="AA53" s="40"/>
      <c r="AB53" s="40"/>
      <c r="AC53" s="40"/>
      <c r="AD53" s="40"/>
      <c r="AE53" s="40"/>
    </row>
    <row r="54" spans="2:31" ht="13.5" customHeight="1">
      <c r="B54" s="38" t="s">
        <v>215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Y54" s="40"/>
      <c r="Z54" s="40"/>
      <c r="AA54" s="40"/>
      <c r="AB54" s="40"/>
      <c r="AC54" s="40"/>
      <c r="AD54" s="40"/>
      <c r="AE54" s="40"/>
    </row>
    <row r="55" spans="4:31" ht="13.5" customHeight="1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Y55" s="40"/>
      <c r="Z55" s="40"/>
      <c r="AA55" s="40"/>
      <c r="AB55" s="40"/>
      <c r="AC55" s="40"/>
      <c r="AD55" s="40"/>
      <c r="AE55" s="40"/>
    </row>
    <row r="56" spans="4:31" ht="13.5" customHeight="1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Y56" s="40"/>
      <c r="Z56" s="40"/>
      <c r="AA56" s="40"/>
      <c r="AB56" s="40"/>
      <c r="AC56" s="40"/>
      <c r="AD56" s="40"/>
      <c r="AE56" s="40"/>
    </row>
    <row r="57" spans="4:31" ht="13.5" customHeight="1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Y57" s="40"/>
      <c r="Z57" s="40"/>
      <c r="AA57" s="40"/>
      <c r="AB57" s="40"/>
      <c r="AC57" s="40"/>
      <c r="AD57" s="40"/>
      <c r="AE57" s="40"/>
    </row>
    <row r="58" spans="4:31" ht="13.5" customHeight="1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Y58" s="40"/>
      <c r="Z58" s="40"/>
      <c r="AA58" s="40"/>
      <c r="AB58" s="40"/>
      <c r="AC58" s="40"/>
      <c r="AD58" s="40"/>
      <c r="AE58" s="40"/>
    </row>
    <row r="59" spans="4:31" ht="13.5" customHeight="1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Y59" s="40"/>
      <c r="Z59" s="40"/>
      <c r="AA59" s="40"/>
      <c r="AB59" s="40"/>
      <c r="AC59" s="40"/>
      <c r="AD59" s="40"/>
      <c r="AE59" s="40"/>
    </row>
    <row r="60" spans="4:31" ht="13.5" customHeight="1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Y60" s="40"/>
      <c r="Z60" s="40"/>
      <c r="AA60" s="40"/>
      <c r="AB60" s="40"/>
      <c r="AC60" s="40"/>
      <c r="AD60" s="40"/>
      <c r="AE60" s="40"/>
    </row>
    <row r="61" spans="4:31" ht="13.5" customHeight="1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Y61" s="40"/>
      <c r="Z61" s="40"/>
      <c r="AA61" s="40"/>
      <c r="AB61" s="40"/>
      <c r="AC61" s="40"/>
      <c r="AD61" s="40"/>
      <c r="AE61" s="40"/>
    </row>
    <row r="62" spans="4:31" ht="13.5" customHeight="1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Y62" s="40"/>
      <c r="Z62" s="40"/>
      <c r="AA62" s="40"/>
      <c r="AB62" s="40"/>
      <c r="AC62" s="40"/>
      <c r="AD62" s="40"/>
      <c r="AE62" s="40"/>
    </row>
    <row r="63" spans="4:31" ht="13.5" customHeight="1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Y63" s="40"/>
      <c r="Z63" s="40"/>
      <c r="AA63" s="40"/>
      <c r="AB63" s="40"/>
      <c r="AC63" s="40"/>
      <c r="AD63" s="40"/>
      <c r="AE63" s="40"/>
    </row>
    <row r="64" spans="4:31" ht="13.5" customHeight="1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Y64" s="40"/>
      <c r="Z64" s="40"/>
      <c r="AA64" s="40"/>
      <c r="AB64" s="40"/>
      <c r="AC64" s="40"/>
      <c r="AD64" s="40"/>
      <c r="AE64" s="40"/>
    </row>
    <row r="65" spans="4:31" ht="13.5" customHeight="1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Y65" s="40"/>
      <c r="Z65" s="40"/>
      <c r="AA65" s="40"/>
      <c r="AB65" s="40"/>
      <c r="AC65" s="40"/>
      <c r="AD65" s="40"/>
      <c r="AE65" s="40"/>
    </row>
    <row r="66" spans="4:31" ht="13.5" customHeight="1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Y66" s="40"/>
      <c r="Z66" s="40"/>
      <c r="AA66" s="40"/>
      <c r="AB66" s="40"/>
      <c r="AC66" s="40"/>
      <c r="AD66" s="40"/>
      <c r="AE66" s="40"/>
    </row>
    <row r="67" spans="4:31" ht="13.5" customHeight="1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Y67" s="40"/>
      <c r="Z67" s="40"/>
      <c r="AA67" s="40"/>
      <c r="AB67" s="40"/>
      <c r="AC67" s="40"/>
      <c r="AD67" s="40"/>
      <c r="AE67" s="40"/>
    </row>
    <row r="68" spans="4:31" ht="13.5" customHeight="1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Y68" s="40"/>
      <c r="Z68" s="40"/>
      <c r="AA68" s="40"/>
      <c r="AB68" s="40"/>
      <c r="AC68" s="40"/>
      <c r="AD68" s="40"/>
      <c r="AE68" s="40"/>
    </row>
    <row r="69" spans="4:31" ht="13.5" customHeight="1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Y69" s="40"/>
      <c r="Z69" s="40"/>
      <c r="AA69" s="40"/>
      <c r="AB69" s="40"/>
      <c r="AC69" s="40"/>
      <c r="AD69" s="40"/>
      <c r="AE69" s="40"/>
    </row>
    <row r="70" spans="4:31" ht="13.5" customHeight="1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Y70" s="40"/>
      <c r="Z70" s="40"/>
      <c r="AA70" s="40"/>
      <c r="AB70" s="40"/>
      <c r="AC70" s="40"/>
      <c r="AD70" s="40"/>
      <c r="AE70" s="40"/>
    </row>
    <row r="71" spans="4:31" ht="13.5" customHeight="1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Y71" s="40"/>
      <c r="Z71" s="40"/>
      <c r="AA71" s="40"/>
      <c r="AB71" s="40"/>
      <c r="AC71" s="40"/>
      <c r="AD71" s="40"/>
      <c r="AE71" s="40"/>
    </row>
    <row r="72" spans="4:31" ht="13.5" customHeight="1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Y72" s="40"/>
      <c r="Z72" s="40"/>
      <c r="AA72" s="40"/>
      <c r="AB72" s="40"/>
      <c r="AC72" s="40"/>
      <c r="AD72" s="40"/>
      <c r="AE72" s="40"/>
    </row>
    <row r="73" spans="4:31" ht="13.5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Y73" s="40"/>
      <c r="Z73" s="40"/>
      <c r="AA73" s="40"/>
      <c r="AB73" s="40"/>
      <c r="AC73" s="40"/>
      <c r="AD73" s="40"/>
      <c r="AE73" s="40"/>
    </row>
    <row r="74" spans="4:31" ht="13.5" customHeight="1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Y74" s="40"/>
      <c r="Z74" s="40"/>
      <c r="AA74" s="40"/>
      <c r="AB74" s="40"/>
      <c r="AC74" s="40"/>
      <c r="AD74" s="40"/>
      <c r="AE74" s="40"/>
    </row>
    <row r="75" spans="4:31" ht="13.5" customHeight="1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Y75" s="40"/>
      <c r="Z75" s="40"/>
      <c r="AA75" s="40"/>
      <c r="AB75" s="40"/>
      <c r="AC75" s="40"/>
      <c r="AD75" s="40"/>
      <c r="AE75" s="40"/>
    </row>
    <row r="76" spans="4:31" ht="13.5" customHeight="1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Y76" s="40"/>
      <c r="Z76" s="40"/>
      <c r="AA76" s="40"/>
      <c r="AB76" s="40"/>
      <c r="AC76" s="40"/>
      <c r="AD76" s="40"/>
      <c r="AE76" s="40"/>
    </row>
    <row r="77" spans="4:31" ht="13.5" customHeight="1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Y77" s="40"/>
      <c r="Z77" s="40"/>
      <c r="AA77" s="40"/>
      <c r="AB77" s="40"/>
      <c r="AC77" s="40"/>
      <c r="AD77" s="40"/>
      <c r="AE77" s="40"/>
    </row>
    <row r="78" spans="4:31" ht="13.5" customHeight="1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Y78" s="40"/>
      <c r="Z78" s="40"/>
      <c r="AA78" s="40"/>
      <c r="AB78" s="40"/>
      <c r="AC78" s="40"/>
      <c r="AD78" s="40"/>
      <c r="AE78" s="40"/>
    </row>
    <row r="79" spans="4:31" ht="13.5" customHeight="1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Y79" s="40"/>
      <c r="Z79" s="40"/>
      <c r="AA79" s="40"/>
      <c r="AB79" s="40"/>
      <c r="AC79" s="40"/>
      <c r="AD79" s="40"/>
      <c r="AE79" s="40"/>
    </row>
    <row r="80" spans="4:31" ht="13.5" customHeight="1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Y80" s="40"/>
      <c r="Z80" s="40"/>
      <c r="AA80" s="40"/>
      <c r="AB80" s="40"/>
      <c r="AC80" s="40"/>
      <c r="AD80" s="40"/>
      <c r="AE80" s="40"/>
    </row>
    <row r="81" spans="4:31" ht="13.5" customHeight="1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Y81" s="40"/>
      <c r="Z81" s="40"/>
      <c r="AA81" s="40"/>
      <c r="AB81" s="40"/>
      <c r="AC81" s="40"/>
      <c r="AD81" s="40"/>
      <c r="AE81" s="40"/>
    </row>
    <row r="82" spans="4:31" ht="13.5" customHeight="1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Y82" s="40"/>
      <c r="Z82" s="40"/>
      <c r="AA82" s="40"/>
      <c r="AB82" s="40"/>
      <c r="AC82" s="40"/>
      <c r="AD82" s="40"/>
      <c r="AE82" s="40"/>
    </row>
    <row r="83" spans="4:31" ht="13.5" customHeight="1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Y83" s="40"/>
      <c r="Z83" s="40"/>
      <c r="AA83" s="40"/>
      <c r="AB83" s="40"/>
      <c r="AC83" s="40"/>
      <c r="AD83" s="40"/>
      <c r="AE83" s="40"/>
    </row>
    <row r="84" spans="4:31" ht="13.5" customHeight="1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Y84" s="40"/>
      <c r="Z84" s="40"/>
      <c r="AA84" s="40"/>
      <c r="AB84" s="40"/>
      <c r="AC84" s="40"/>
      <c r="AD84" s="40"/>
      <c r="AE84" s="40"/>
    </row>
    <row r="85" spans="4:31" ht="13.5" customHeight="1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Y85" s="40"/>
      <c r="Z85" s="40"/>
      <c r="AA85" s="40"/>
      <c r="AB85" s="40"/>
      <c r="AC85" s="40"/>
      <c r="AD85" s="40"/>
      <c r="AE85" s="40"/>
    </row>
    <row r="86" spans="4:31" ht="13.5" customHeight="1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Y86" s="40"/>
      <c r="Z86" s="40"/>
      <c r="AA86" s="40"/>
      <c r="AB86" s="40"/>
      <c r="AC86" s="40"/>
      <c r="AD86" s="40"/>
      <c r="AE86" s="40"/>
    </row>
    <row r="87" spans="4:31" ht="13.5" customHeight="1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Y87" s="40"/>
      <c r="Z87" s="40"/>
      <c r="AA87" s="40"/>
      <c r="AB87" s="40"/>
      <c r="AC87" s="40"/>
      <c r="AD87" s="40"/>
      <c r="AE87" s="40"/>
    </row>
    <row r="88" spans="4:31" ht="13.5" customHeight="1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Y88" s="40"/>
      <c r="Z88" s="40"/>
      <c r="AA88" s="40"/>
      <c r="AB88" s="40"/>
      <c r="AC88" s="40"/>
      <c r="AD88" s="40"/>
      <c r="AE88" s="40"/>
    </row>
    <row r="89" spans="4:31" ht="13.5" customHeight="1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Y89" s="40"/>
      <c r="Z89" s="40"/>
      <c r="AA89" s="40"/>
      <c r="AB89" s="40"/>
      <c r="AC89" s="40"/>
      <c r="AD89" s="40"/>
      <c r="AE89" s="40"/>
    </row>
    <row r="90" spans="4:31" ht="13.5" customHeight="1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Y90" s="40"/>
      <c r="Z90" s="40"/>
      <c r="AA90" s="40"/>
      <c r="AB90" s="40"/>
      <c r="AC90" s="40"/>
      <c r="AD90" s="40"/>
      <c r="AE90" s="40"/>
    </row>
    <row r="91" spans="4:31" ht="13.5" customHeight="1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Y91" s="40"/>
      <c r="Z91" s="40"/>
      <c r="AA91" s="40"/>
      <c r="AB91" s="40"/>
      <c r="AC91" s="40"/>
      <c r="AD91" s="40"/>
      <c r="AE91" s="40"/>
    </row>
    <row r="92" spans="4:31" ht="13.5" customHeight="1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Y92" s="40"/>
      <c r="Z92" s="40"/>
      <c r="AA92" s="40"/>
      <c r="AB92" s="40"/>
      <c r="AC92" s="40"/>
      <c r="AD92" s="40"/>
      <c r="AE92" s="40"/>
    </row>
    <row r="93" spans="4:31" ht="13.5" customHeight="1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Y93" s="40"/>
      <c r="Z93" s="40"/>
      <c r="AA93" s="40"/>
      <c r="AB93" s="40"/>
      <c r="AC93" s="40"/>
      <c r="AD93" s="40"/>
      <c r="AE93" s="40"/>
    </row>
    <row r="94" spans="4:31" ht="13.5" customHeight="1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Y94" s="40"/>
      <c r="Z94" s="40"/>
      <c r="AA94" s="40"/>
      <c r="AB94" s="40"/>
      <c r="AC94" s="40"/>
      <c r="AD94" s="40"/>
      <c r="AE94" s="40"/>
    </row>
    <row r="95" spans="4:31" ht="13.5" customHeight="1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Y95" s="40"/>
      <c r="Z95" s="40"/>
      <c r="AA95" s="40"/>
      <c r="AB95" s="40"/>
      <c r="AC95" s="40"/>
      <c r="AD95" s="40"/>
      <c r="AE95" s="40"/>
    </row>
    <row r="96" spans="4:31" ht="13.5" customHeight="1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Y96" s="40"/>
      <c r="Z96" s="40"/>
      <c r="AA96" s="40"/>
      <c r="AB96" s="40"/>
      <c r="AC96" s="40"/>
      <c r="AD96" s="40"/>
      <c r="AE96" s="40"/>
    </row>
    <row r="97" spans="4:31" ht="13.5" customHeight="1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Y97" s="40"/>
      <c r="Z97" s="40"/>
      <c r="AA97" s="40"/>
      <c r="AB97" s="40"/>
      <c r="AC97" s="40"/>
      <c r="AD97" s="40"/>
      <c r="AE97" s="40"/>
    </row>
    <row r="98" spans="4:31" ht="13.5" customHeight="1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Y98" s="40"/>
      <c r="Z98" s="40"/>
      <c r="AA98" s="40"/>
      <c r="AB98" s="40"/>
      <c r="AC98" s="40"/>
      <c r="AD98" s="40"/>
      <c r="AE98" s="40"/>
    </row>
    <row r="99" spans="4:31" ht="13.5" customHeight="1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Y99" s="40"/>
      <c r="Z99" s="40"/>
      <c r="AA99" s="40"/>
      <c r="AB99" s="40"/>
      <c r="AC99" s="40"/>
      <c r="AD99" s="40"/>
      <c r="AE99" s="40"/>
    </row>
    <row r="100" spans="4:31" ht="13.5" customHeight="1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Y100" s="40"/>
      <c r="Z100" s="40"/>
      <c r="AA100" s="40"/>
      <c r="AB100" s="40"/>
      <c r="AC100" s="40"/>
      <c r="AD100" s="40"/>
      <c r="AE100" s="40"/>
    </row>
    <row r="101" spans="4:31" ht="13.5" customHeight="1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Y101" s="40"/>
      <c r="Z101" s="40"/>
      <c r="AA101" s="40"/>
      <c r="AB101" s="40"/>
      <c r="AC101" s="40"/>
      <c r="AD101" s="40"/>
      <c r="AE101" s="40"/>
    </row>
    <row r="102" spans="4:31" ht="13.5" customHeight="1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Y102" s="40"/>
      <c r="Z102" s="40"/>
      <c r="AA102" s="40"/>
      <c r="AB102" s="40"/>
      <c r="AC102" s="40"/>
      <c r="AD102" s="40"/>
      <c r="AE102" s="40"/>
    </row>
    <row r="103" spans="4:31" ht="13.5" customHeight="1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Y103" s="40"/>
      <c r="Z103" s="40"/>
      <c r="AA103" s="40"/>
      <c r="AB103" s="40"/>
      <c r="AC103" s="40"/>
      <c r="AD103" s="40"/>
      <c r="AE103" s="40"/>
    </row>
    <row r="104" spans="4:31" ht="13.5" customHeight="1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Y104" s="40"/>
      <c r="Z104" s="40"/>
      <c r="AA104" s="40"/>
      <c r="AB104" s="40"/>
      <c r="AC104" s="40"/>
      <c r="AD104" s="40"/>
      <c r="AE104" s="40"/>
    </row>
    <row r="105" spans="4:31" ht="13.5" customHeight="1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Y105" s="40"/>
      <c r="Z105" s="40"/>
      <c r="AA105" s="40"/>
      <c r="AB105" s="40"/>
      <c r="AC105" s="40"/>
      <c r="AD105" s="40"/>
      <c r="AE105" s="40"/>
    </row>
    <row r="106" spans="4:31" ht="13.5" customHeight="1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Y106" s="40"/>
      <c r="Z106" s="40"/>
      <c r="AA106" s="40"/>
      <c r="AB106" s="40"/>
      <c r="AC106" s="40"/>
      <c r="AD106" s="40"/>
      <c r="AE106" s="40"/>
    </row>
    <row r="107" spans="4:31" ht="13.5" customHeight="1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Y107" s="40"/>
      <c r="Z107" s="40"/>
      <c r="AA107" s="40"/>
      <c r="AB107" s="40"/>
      <c r="AC107" s="40"/>
      <c r="AD107" s="40"/>
      <c r="AE107" s="40"/>
    </row>
    <row r="108" spans="4:31" ht="13.5" customHeight="1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Y108" s="40"/>
      <c r="Z108" s="40"/>
      <c r="AA108" s="40"/>
      <c r="AB108" s="40"/>
      <c r="AC108" s="40"/>
      <c r="AD108" s="40"/>
      <c r="AE108" s="40"/>
    </row>
    <row r="109" spans="4:31" ht="13.5" customHeight="1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Y109" s="40"/>
      <c r="Z109" s="40"/>
      <c r="AA109" s="40"/>
      <c r="AB109" s="40"/>
      <c r="AC109" s="40"/>
      <c r="AD109" s="40"/>
      <c r="AE109" s="40"/>
    </row>
    <row r="110" spans="4:31" ht="13.5" customHeight="1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Y110" s="40"/>
      <c r="Z110" s="40"/>
      <c r="AA110" s="40"/>
      <c r="AB110" s="40"/>
      <c r="AC110" s="40"/>
      <c r="AD110" s="40"/>
      <c r="AE110" s="40"/>
    </row>
    <row r="111" spans="4:31" ht="13.5" customHeight="1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Y111" s="40"/>
      <c r="Z111" s="40"/>
      <c r="AA111" s="40"/>
      <c r="AB111" s="40"/>
      <c r="AC111" s="40"/>
      <c r="AD111" s="40"/>
      <c r="AE111" s="40"/>
    </row>
    <row r="112" spans="4:31" ht="13.5" customHeight="1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Y112" s="40"/>
      <c r="Z112" s="40"/>
      <c r="AA112" s="40"/>
      <c r="AB112" s="40"/>
      <c r="AC112" s="40"/>
      <c r="AD112" s="40"/>
      <c r="AE112" s="40"/>
    </row>
    <row r="113" spans="4:31" ht="13.5" customHeight="1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Y113" s="40"/>
      <c r="Z113" s="40"/>
      <c r="AA113" s="40"/>
      <c r="AB113" s="40"/>
      <c r="AC113" s="40"/>
      <c r="AD113" s="40"/>
      <c r="AE113" s="40"/>
    </row>
    <row r="114" spans="4:31" ht="13.5" customHeight="1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Y114" s="40"/>
      <c r="Z114" s="40"/>
      <c r="AA114" s="40"/>
      <c r="AB114" s="40"/>
      <c r="AC114" s="40"/>
      <c r="AD114" s="40"/>
      <c r="AE114" s="40"/>
    </row>
    <row r="115" spans="4:31" ht="13.5" customHeight="1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Y115" s="40"/>
      <c r="Z115" s="40"/>
      <c r="AA115" s="40"/>
      <c r="AB115" s="40"/>
      <c r="AC115" s="40"/>
      <c r="AD115" s="40"/>
      <c r="AE115" s="40"/>
    </row>
    <row r="116" spans="4:31" ht="13.5" customHeight="1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Y116" s="40"/>
      <c r="Z116" s="40"/>
      <c r="AA116" s="40"/>
      <c r="AB116" s="40"/>
      <c r="AC116" s="40"/>
      <c r="AD116" s="40"/>
      <c r="AE116" s="40"/>
    </row>
    <row r="117" spans="4:31" ht="13.5" customHeight="1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Y117" s="40"/>
      <c r="Z117" s="40"/>
      <c r="AA117" s="40"/>
      <c r="AB117" s="40"/>
      <c r="AC117" s="40"/>
      <c r="AD117" s="40"/>
      <c r="AE117" s="40"/>
    </row>
    <row r="118" spans="4:31" ht="13.5" customHeight="1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Y118" s="40"/>
      <c r="Z118" s="40"/>
      <c r="AA118" s="40"/>
      <c r="AB118" s="40"/>
      <c r="AC118" s="40"/>
      <c r="AD118" s="40"/>
      <c r="AE118" s="40"/>
    </row>
    <row r="119" spans="4:31" ht="13.5" customHeight="1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Y119" s="40"/>
      <c r="Z119" s="40"/>
      <c r="AA119" s="40"/>
      <c r="AB119" s="40"/>
      <c r="AC119" s="40"/>
      <c r="AD119" s="40"/>
      <c r="AE119" s="40"/>
    </row>
    <row r="120" spans="4:31" ht="13.5" customHeight="1"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Y120" s="40"/>
      <c r="Z120" s="40"/>
      <c r="AA120" s="40"/>
      <c r="AB120" s="40"/>
      <c r="AC120" s="40"/>
      <c r="AD120" s="40"/>
      <c r="AE120" s="40"/>
    </row>
    <row r="121" spans="4:31" ht="13.5" customHeight="1"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Y121" s="40"/>
      <c r="Z121" s="40"/>
      <c r="AA121" s="40"/>
      <c r="AB121" s="40"/>
      <c r="AC121" s="40"/>
      <c r="AD121" s="40"/>
      <c r="AE121" s="40"/>
    </row>
    <row r="122" spans="4:31" ht="13.5" customHeight="1"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Y122" s="40"/>
      <c r="Z122" s="40"/>
      <c r="AA122" s="40"/>
      <c r="AB122" s="40"/>
      <c r="AC122" s="40"/>
      <c r="AD122" s="40"/>
      <c r="AE122" s="40"/>
    </row>
    <row r="123" spans="4:31" ht="13.5" customHeight="1"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Y123" s="40"/>
      <c r="Z123" s="40"/>
      <c r="AA123" s="40"/>
      <c r="AB123" s="40"/>
      <c r="AC123" s="40"/>
      <c r="AD123" s="40"/>
      <c r="AE123" s="40"/>
    </row>
    <row r="124" spans="4:31" ht="13.5" customHeight="1"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Y124" s="40"/>
      <c r="Z124" s="40"/>
      <c r="AA124" s="40"/>
      <c r="AB124" s="40"/>
      <c r="AC124" s="40"/>
      <c r="AD124" s="40"/>
      <c r="AE124" s="40"/>
    </row>
    <row r="125" spans="4:31" ht="13.5" customHeight="1"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Y125" s="40"/>
      <c r="Z125" s="40"/>
      <c r="AA125" s="40"/>
      <c r="AB125" s="40"/>
      <c r="AC125" s="40"/>
      <c r="AD125" s="40"/>
      <c r="AE125" s="40"/>
    </row>
    <row r="126" spans="4:31" ht="13.5" customHeight="1"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Y126" s="40"/>
      <c r="Z126" s="40"/>
      <c r="AA126" s="40"/>
      <c r="AB126" s="40"/>
      <c r="AC126" s="40"/>
      <c r="AD126" s="40"/>
      <c r="AE126" s="40"/>
    </row>
    <row r="127" spans="4:31" ht="13.5" customHeight="1"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Y127" s="40"/>
      <c r="Z127" s="40"/>
      <c r="AA127" s="40"/>
      <c r="AB127" s="40"/>
      <c r="AC127" s="40"/>
      <c r="AD127" s="40"/>
      <c r="AE127" s="40"/>
    </row>
    <row r="128" spans="4:31" ht="13.5" customHeight="1"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Y128" s="40"/>
      <c r="Z128" s="40"/>
      <c r="AA128" s="40"/>
      <c r="AB128" s="40"/>
      <c r="AC128" s="40"/>
      <c r="AD128" s="40"/>
      <c r="AE128" s="40"/>
    </row>
    <row r="129" spans="4:31" ht="13.5" customHeight="1"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Y129" s="40"/>
      <c r="Z129" s="40"/>
      <c r="AA129" s="40"/>
      <c r="AB129" s="40"/>
      <c r="AC129" s="40"/>
      <c r="AD129" s="40"/>
      <c r="AE129" s="40"/>
    </row>
    <row r="130" spans="4:31" ht="13.5" customHeight="1"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Y130" s="40"/>
      <c r="Z130" s="40"/>
      <c r="AA130" s="40"/>
      <c r="AB130" s="40"/>
      <c r="AC130" s="40"/>
      <c r="AD130" s="40"/>
      <c r="AE130" s="40"/>
    </row>
    <row r="131" spans="4:31" ht="13.5" customHeight="1"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Y131" s="40"/>
      <c r="Z131" s="40"/>
      <c r="AA131" s="40"/>
      <c r="AB131" s="40"/>
      <c r="AC131" s="40"/>
      <c r="AD131" s="40"/>
      <c r="AE131" s="40"/>
    </row>
    <row r="132" spans="4:31" ht="13.5" customHeight="1"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Y132" s="40"/>
      <c r="Z132" s="40"/>
      <c r="AA132" s="40"/>
      <c r="AB132" s="40"/>
      <c r="AC132" s="40"/>
      <c r="AD132" s="40"/>
      <c r="AE132" s="40"/>
    </row>
    <row r="133" spans="4:31" ht="13.5" customHeight="1"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Y133" s="40"/>
      <c r="Z133" s="40"/>
      <c r="AA133" s="40"/>
      <c r="AB133" s="40"/>
      <c r="AC133" s="40"/>
      <c r="AD133" s="40"/>
      <c r="AE133" s="40"/>
    </row>
    <row r="134" spans="4:31" ht="13.5" customHeight="1"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Y134" s="40"/>
      <c r="Z134" s="40"/>
      <c r="AA134" s="40"/>
      <c r="AB134" s="40"/>
      <c r="AC134" s="40"/>
      <c r="AD134" s="40"/>
      <c r="AE134" s="40"/>
    </row>
    <row r="135" spans="4:31" ht="13.5" customHeight="1"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Y135" s="40"/>
      <c r="Z135" s="40"/>
      <c r="AA135" s="40"/>
      <c r="AB135" s="40"/>
      <c r="AC135" s="40"/>
      <c r="AD135" s="40"/>
      <c r="AE135" s="40"/>
    </row>
    <row r="136" spans="4:31" ht="13.5" customHeight="1"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Y136" s="40"/>
      <c r="Z136" s="40"/>
      <c r="AA136" s="40"/>
      <c r="AB136" s="40"/>
      <c r="AC136" s="40"/>
      <c r="AD136" s="40"/>
      <c r="AE136" s="40"/>
    </row>
    <row r="137" spans="4:31" ht="13.5" customHeight="1"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Y137" s="40"/>
      <c r="Z137" s="40"/>
      <c r="AA137" s="40"/>
      <c r="AB137" s="40"/>
      <c r="AC137" s="40"/>
      <c r="AD137" s="40"/>
      <c r="AE137" s="40"/>
    </row>
    <row r="138" spans="4:31" ht="13.5" customHeight="1"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Y138" s="40"/>
      <c r="Z138" s="40"/>
      <c r="AA138" s="40"/>
      <c r="AB138" s="40"/>
      <c r="AC138" s="40"/>
      <c r="AD138" s="40"/>
      <c r="AE138" s="40"/>
    </row>
    <row r="139" spans="4:31" ht="13.5" customHeight="1"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Y139" s="40"/>
      <c r="Z139" s="40"/>
      <c r="AA139" s="40"/>
      <c r="AB139" s="40"/>
      <c r="AC139" s="40"/>
      <c r="AD139" s="40"/>
      <c r="AE139" s="40"/>
    </row>
    <row r="140" spans="4:31" ht="13.5" customHeight="1"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Y140" s="40"/>
      <c r="Z140" s="40"/>
      <c r="AA140" s="40"/>
      <c r="AB140" s="40"/>
      <c r="AC140" s="40"/>
      <c r="AD140" s="40"/>
      <c r="AE140" s="40"/>
    </row>
    <row r="141" spans="4:31" ht="13.5" customHeight="1"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Y141" s="40"/>
      <c r="Z141" s="40"/>
      <c r="AA141" s="40"/>
      <c r="AB141" s="40"/>
      <c r="AC141" s="40"/>
      <c r="AD141" s="40"/>
      <c r="AE141" s="40"/>
    </row>
    <row r="142" spans="4:31" ht="13.5" customHeight="1"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Y142" s="40"/>
      <c r="Z142" s="40"/>
      <c r="AA142" s="40"/>
      <c r="AB142" s="40"/>
      <c r="AC142" s="40"/>
      <c r="AD142" s="40"/>
      <c r="AE142" s="40"/>
    </row>
    <row r="143" spans="4:31" ht="13.5" customHeight="1"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Y143" s="40"/>
      <c r="Z143" s="40"/>
      <c r="AA143" s="40"/>
      <c r="AB143" s="40"/>
      <c r="AC143" s="40"/>
      <c r="AD143" s="40"/>
      <c r="AE143" s="40"/>
    </row>
    <row r="144" spans="4:31" ht="13.5" customHeight="1"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Y144" s="40"/>
      <c r="Z144" s="40"/>
      <c r="AA144" s="40"/>
      <c r="AB144" s="40"/>
      <c r="AC144" s="40"/>
      <c r="AD144" s="40"/>
      <c r="AE144" s="40"/>
    </row>
    <row r="145" spans="4:31" ht="13.5" customHeight="1"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Y145" s="40"/>
      <c r="Z145" s="40"/>
      <c r="AA145" s="40"/>
      <c r="AB145" s="40"/>
      <c r="AC145" s="40"/>
      <c r="AD145" s="40"/>
      <c r="AE145" s="40"/>
    </row>
    <row r="146" spans="4:31" ht="13.5" customHeight="1"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Y146" s="40"/>
      <c r="Z146" s="40"/>
      <c r="AA146" s="40"/>
      <c r="AB146" s="40"/>
      <c r="AC146" s="40"/>
      <c r="AD146" s="40"/>
      <c r="AE146" s="40"/>
    </row>
    <row r="147" spans="4:31" ht="13.5" customHeight="1"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Y147" s="40"/>
      <c r="Z147" s="40"/>
      <c r="AA147" s="40"/>
      <c r="AB147" s="40"/>
      <c r="AC147" s="40"/>
      <c r="AD147" s="40"/>
      <c r="AE147" s="40"/>
    </row>
    <row r="148" spans="4:31" ht="13.5" customHeight="1"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Y148" s="40"/>
      <c r="Z148" s="40"/>
      <c r="AA148" s="40"/>
      <c r="AB148" s="40"/>
      <c r="AC148" s="40"/>
      <c r="AD148" s="40"/>
      <c r="AE148" s="40"/>
    </row>
    <row r="149" spans="4:31" ht="13.5" customHeight="1"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Y149" s="40"/>
      <c r="Z149" s="40"/>
      <c r="AA149" s="40"/>
      <c r="AB149" s="40"/>
      <c r="AC149" s="40"/>
      <c r="AD149" s="40"/>
      <c r="AE149" s="40"/>
    </row>
    <row r="150" spans="4:31" ht="13.5" customHeight="1"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Y150" s="40"/>
      <c r="Z150" s="40"/>
      <c r="AA150" s="40"/>
      <c r="AB150" s="40"/>
      <c r="AC150" s="40"/>
      <c r="AD150" s="40"/>
      <c r="AE150" s="40"/>
    </row>
    <row r="151" spans="4:31" ht="13.5" customHeight="1"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Y151" s="40"/>
      <c r="Z151" s="40"/>
      <c r="AA151" s="40"/>
      <c r="AB151" s="40"/>
      <c r="AC151" s="40"/>
      <c r="AD151" s="40"/>
      <c r="AE151" s="40"/>
    </row>
    <row r="152" spans="4:31" ht="13.5" customHeight="1"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Y152" s="40"/>
      <c r="Z152" s="40"/>
      <c r="AA152" s="40"/>
      <c r="AB152" s="40"/>
      <c r="AC152" s="40"/>
      <c r="AD152" s="40"/>
      <c r="AE152" s="40"/>
    </row>
    <row r="153" spans="4:31" ht="13.5" customHeight="1"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Y153" s="40"/>
      <c r="Z153" s="40"/>
      <c r="AA153" s="40"/>
      <c r="AB153" s="40"/>
      <c r="AC153" s="40"/>
      <c r="AD153" s="40"/>
      <c r="AE153" s="40"/>
    </row>
    <row r="154" spans="4:31" ht="13.5" customHeight="1"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Y154" s="40"/>
      <c r="Z154" s="40"/>
      <c r="AA154" s="40"/>
      <c r="AB154" s="40"/>
      <c r="AC154" s="40"/>
      <c r="AD154" s="40"/>
      <c r="AE154" s="40"/>
    </row>
    <row r="155" spans="4:31" ht="13.5" customHeight="1"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Y155" s="40"/>
      <c r="Z155" s="40"/>
      <c r="AA155" s="40"/>
      <c r="AB155" s="40"/>
      <c r="AC155" s="40"/>
      <c r="AD155" s="40"/>
      <c r="AE155" s="40"/>
    </row>
    <row r="156" spans="4:31" ht="13.5" customHeight="1"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Y156" s="40"/>
      <c r="Z156" s="40"/>
      <c r="AA156" s="40"/>
      <c r="AB156" s="40"/>
      <c r="AC156" s="40"/>
      <c r="AD156" s="40"/>
      <c r="AE156" s="40"/>
    </row>
    <row r="157" spans="4:31" ht="13.5" customHeight="1"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Y157" s="40"/>
      <c r="Z157" s="40"/>
      <c r="AA157" s="40"/>
      <c r="AB157" s="40"/>
      <c r="AC157" s="40"/>
      <c r="AD157" s="40"/>
      <c r="AE157" s="40"/>
    </row>
    <row r="158" spans="4:31" ht="13.5" customHeight="1"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Y158" s="40"/>
      <c r="Z158" s="40"/>
      <c r="AA158" s="40"/>
      <c r="AB158" s="40"/>
      <c r="AC158" s="40"/>
      <c r="AD158" s="40"/>
      <c r="AE158" s="40"/>
    </row>
    <row r="159" spans="4:31" ht="13.5" customHeight="1"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Y159" s="40"/>
      <c r="Z159" s="40"/>
      <c r="AA159" s="40"/>
      <c r="AB159" s="40"/>
      <c r="AC159" s="40"/>
      <c r="AD159" s="40"/>
      <c r="AE159" s="40"/>
    </row>
    <row r="160" spans="4:31" ht="13.5" customHeight="1"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Y160" s="40"/>
      <c r="Z160" s="40"/>
      <c r="AA160" s="40"/>
      <c r="AB160" s="40"/>
      <c r="AC160" s="40"/>
      <c r="AD160" s="40"/>
      <c r="AE160" s="40"/>
    </row>
    <row r="161" spans="4:31" ht="13.5" customHeight="1"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Y161" s="40"/>
      <c r="Z161" s="40"/>
      <c r="AA161" s="40"/>
      <c r="AB161" s="40"/>
      <c r="AC161" s="40"/>
      <c r="AD161" s="40"/>
      <c r="AE161" s="40"/>
    </row>
    <row r="162" spans="4:31" ht="13.5" customHeight="1"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Y162" s="40"/>
      <c r="Z162" s="40"/>
      <c r="AA162" s="40"/>
      <c r="AB162" s="40"/>
      <c r="AC162" s="40"/>
      <c r="AD162" s="40"/>
      <c r="AE162" s="40"/>
    </row>
    <row r="163" spans="4:31" ht="13.5" customHeight="1"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Y163" s="40"/>
      <c r="Z163" s="40"/>
      <c r="AA163" s="40"/>
      <c r="AB163" s="40"/>
      <c r="AC163" s="40"/>
      <c r="AD163" s="40"/>
      <c r="AE163" s="40"/>
    </row>
    <row r="164" spans="4:31" ht="13.5" customHeight="1"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Y164" s="40"/>
      <c r="Z164" s="40"/>
      <c r="AA164" s="40"/>
      <c r="AB164" s="40"/>
      <c r="AC164" s="40"/>
      <c r="AD164" s="40"/>
      <c r="AE164" s="40"/>
    </row>
    <row r="165" spans="4:31" ht="13.5" customHeight="1"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Y165" s="40"/>
      <c r="Z165" s="40"/>
      <c r="AA165" s="40"/>
      <c r="AB165" s="40"/>
      <c r="AC165" s="40"/>
      <c r="AD165" s="40"/>
      <c r="AE165" s="40"/>
    </row>
    <row r="166" spans="4:31" ht="13.5" customHeight="1"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Y166" s="40"/>
      <c r="Z166" s="40"/>
      <c r="AA166" s="40"/>
      <c r="AB166" s="40"/>
      <c r="AC166" s="40"/>
      <c r="AD166" s="40"/>
      <c r="AE166" s="40"/>
    </row>
    <row r="167" spans="4:31" ht="13.5" customHeight="1"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Y167" s="40"/>
      <c r="Z167" s="40"/>
      <c r="AA167" s="40"/>
      <c r="AB167" s="40"/>
      <c r="AC167" s="40"/>
      <c r="AD167" s="40"/>
      <c r="AE167" s="40"/>
    </row>
    <row r="168" spans="4:31" ht="13.5" customHeight="1"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Y168" s="40"/>
      <c r="Z168" s="40"/>
      <c r="AA168" s="40"/>
      <c r="AB168" s="40"/>
      <c r="AC168" s="40"/>
      <c r="AD168" s="40"/>
      <c r="AE168" s="40"/>
    </row>
    <row r="169" spans="4:31" ht="13.5" customHeight="1"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Y169" s="40"/>
      <c r="Z169" s="40"/>
      <c r="AA169" s="40"/>
      <c r="AB169" s="40"/>
      <c r="AC169" s="40"/>
      <c r="AD169" s="40"/>
      <c r="AE169" s="40"/>
    </row>
    <row r="170" spans="4:31" ht="13.5" customHeight="1"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Y170" s="40"/>
      <c r="Z170" s="40"/>
      <c r="AA170" s="40"/>
      <c r="AB170" s="40"/>
      <c r="AC170" s="40"/>
      <c r="AD170" s="40"/>
      <c r="AE170" s="40"/>
    </row>
    <row r="171" spans="4:31" ht="13.5" customHeight="1"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Y171" s="40"/>
      <c r="Z171" s="40"/>
      <c r="AA171" s="40"/>
      <c r="AB171" s="40"/>
      <c r="AC171" s="40"/>
      <c r="AD171" s="40"/>
      <c r="AE171" s="40"/>
    </row>
    <row r="172" spans="4:31" ht="13.5" customHeight="1"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Y172" s="40"/>
      <c r="Z172" s="40"/>
      <c r="AA172" s="40"/>
      <c r="AB172" s="40"/>
      <c r="AC172" s="40"/>
      <c r="AD172" s="40"/>
      <c r="AE172" s="40"/>
    </row>
    <row r="173" spans="4:31" ht="13.5" customHeight="1"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Y173" s="40"/>
      <c r="Z173" s="40"/>
      <c r="AA173" s="40"/>
      <c r="AB173" s="40"/>
      <c r="AC173" s="40"/>
      <c r="AD173" s="40"/>
      <c r="AE173" s="40"/>
    </row>
    <row r="174" spans="4:31" ht="13.5" customHeight="1"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Y174" s="40"/>
      <c r="Z174" s="40"/>
      <c r="AA174" s="40"/>
      <c r="AB174" s="40"/>
      <c r="AC174" s="40"/>
      <c r="AD174" s="40"/>
      <c r="AE174" s="40"/>
    </row>
    <row r="175" spans="4:31" ht="13.5" customHeight="1"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Y175" s="40"/>
      <c r="Z175" s="40"/>
      <c r="AA175" s="40"/>
      <c r="AB175" s="40"/>
      <c r="AC175" s="40"/>
      <c r="AD175" s="40"/>
      <c r="AE175" s="40"/>
    </row>
    <row r="176" spans="4:31" ht="13.5" customHeight="1"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Y176" s="40"/>
      <c r="Z176" s="40"/>
      <c r="AA176" s="40"/>
      <c r="AB176" s="40"/>
      <c r="AC176" s="40"/>
      <c r="AD176" s="40"/>
      <c r="AE176" s="40"/>
    </row>
    <row r="177" spans="4:31" ht="13.5" customHeight="1"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Y177" s="40"/>
      <c r="Z177" s="40"/>
      <c r="AA177" s="40"/>
      <c r="AB177" s="40"/>
      <c r="AC177" s="40"/>
      <c r="AD177" s="40"/>
      <c r="AE177" s="40"/>
    </row>
    <row r="178" spans="4:31" ht="13.5" customHeight="1"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Y178" s="40"/>
      <c r="Z178" s="40"/>
      <c r="AA178" s="40"/>
      <c r="AB178" s="40"/>
      <c r="AC178" s="40"/>
      <c r="AD178" s="40"/>
      <c r="AE178" s="40"/>
    </row>
    <row r="179" spans="4:31" ht="13.5" customHeight="1"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Y179" s="40"/>
      <c r="Z179" s="40"/>
      <c r="AA179" s="40"/>
      <c r="AB179" s="40"/>
      <c r="AC179" s="40"/>
      <c r="AD179" s="40"/>
      <c r="AE179" s="40"/>
    </row>
    <row r="180" spans="4:31" ht="13.5" customHeight="1"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Y180" s="40"/>
      <c r="Z180" s="40"/>
      <c r="AA180" s="40"/>
      <c r="AB180" s="40"/>
      <c r="AC180" s="40"/>
      <c r="AD180" s="40"/>
      <c r="AE180" s="40"/>
    </row>
    <row r="181" spans="4:31" ht="13.5" customHeight="1"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Y181" s="40"/>
      <c r="Z181" s="40"/>
      <c r="AA181" s="40"/>
      <c r="AB181" s="40"/>
      <c r="AC181" s="40"/>
      <c r="AD181" s="40"/>
      <c r="AE181" s="40"/>
    </row>
    <row r="182" spans="4:31" ht="13.5" customHeight="1"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Y182" s="40"/>
      <c r="Z182" s="40"/>
      <c r="AA182" s="40"/>
      <c r="AB182" s="40"/>
      <c r="AC182" s="40"/>
      <c r="AD182" s="40"/>
      <c r="AE182" s="40"/>
    </row>
    <row r="183" spans="4:31" ht="13.5" customHeight="1"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Y183" s="40"/>
      <c r="Z183" s="40"/>
      <c r="AA183" s="40"/>
      <c r="AB183" s="40"/>
      <c r="AC183" s="40"/>
      <c r="AD183" s="40"/>
      <c r="AE183" s="40"/>
    </row>
    <row r="184" spans="4:31" ht="13.5" customHeight="1"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Y184" s="40"/>
      <c r="Z184" s="40"/>
      <c r="AA184" s="40"/>
      <c r="AB184" s="40"/>
      <c r="AC184" s="40"/>
      <c r="AD184" s="40"/>
      <c r="AE184" s="40"/>
    </row>
    <row r="185" spans="4:31" ht="13.5" customHeight="1"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Y185" s="40"/>
      <c r="Z185" s="40"/>
      <c r="AA185" s="40"/>
      <c r="AB185" s="40"/>
      <c r="AC185" s="40"/>
      <c r="AD185" s="40"/>
      <c r="AE185" s="40"/>
    </row>
    <row r="186" spans="4:31" ht="13.5" customHeight="1"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Y186" s="40"/>
      <c r="Z186" s="40"/>
      <c r="AA186" s="40"/>
      <c r="AB186" s="40"/>
      <c r="AC186" s="40"/>
      <c r="AD186" s="40"/>
      <c r="AE186" s="40"/>
    </row>
    <row r="187" spans="4:31" ht="13.5" customHeight="1"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Y187" s="40"/>
      <c r="Z187" s="40"/>
      <c r="AA187" s="40"/>
      <c r="AB187" s="40"/>
      <c r="AC187" s="40"/>
      <c r="AD187" s="40"/>
      <c r="AE187" s="40"/>
    </row>
    <row r="188" spans="4:31" ht="13.5" customHeight="1"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Y188" s="40"/>
      <c r="Z188" s="40"/>
      <c r="AA188" s="40"/>
      <c r="AB188" s="40"/>
      <c r="AC188" s="40"/>
      <c r="AD188" s="40"/>
      <c r="AE188" s="40"/>
    </row>
    <row r="189" spans="4:31" ht="13.5" customHeight="1"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Y189" s="40"/>
      <c r="Z189" s="40"/>
      <c r="AA189" s="40"/>
      <c r="AB189" s="40"/>
      <c r="AC189" s="40"/>
      <c r="AD189" s="40"/>
      <c r="AE189" s="40"/>
    </row>
    <row r="190" spans="4:31" ht="13.5" customHeight="1"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Y190" s="40"/>
      <c r="Z190" s="40"/>
      <c r="AA190" s="40"/>
      <c r="AB190" s="40"/>
      <c r="AC190" s="40"/>
      <c r="AD190" s="40"/>
      <c r="AE190" s="40"/>
    </row>
    <row r="191" spans="4:31" ht="13.5" customHeight="1"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Y191" s="40"/>
      <c r="Z191" s="40"/>
      <c r="AA191" s="40"/>
      <c r="AB191" s="40"/>
      <c r="AC191" s="40"/>
      <c r="AD191" s="40"/>
      <c r="AE191" s="40"/>
    </row>
    <row r="192" spans="4:31" ht="13.5" customHeight="1"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Y192" s="40"/>
      <c r="Z192" s="40"/>
      <c r="AA192" s="40"/>
      <c r="AB192" s="40"/>
      <c r="AC192" s="40"/>
      <c r="AD192" s="40"/>
      <c r="AE192" s="40"/>
    </row>
    <row r="193" spans="4:31" ht="13.5" customHeight="1"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Y193" s="40"/>
      <c r="Z193" s="40"/>
      <c r="AA193" s="40"/>
      <c r="AB193" s="40"/>
      <c r="AC193" s="40"/>
      <c r="AD193" s="40"/>
      <c r="AE193" s="40"/>
    </row>
    <row r="194" spans="4:31" ht="13.5" customHeight="1"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Y194" s="40"/>
      <c r="Z194" s="40"/>
      <c r="AA194" s="40"/>
      <c r="AB194" s="40"/>
      <c r="AC194" s="40"/>
      <c r="AD194" s="40"/>
      <c r="AE194" s="40"/>
    </row>
    <row r="195" spans="4:31" ht="13.5" customHeight="1"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Y195" s="40"/>
      <c r="Z195" s="40"/>
      <c r="AA195" s="40"/>
      <c r="AB195" s="40"/>
      <c r="AC195" s="40"/>
      <c r="AD195" s="40"/>
      <c r="AE195" s="40"/>
    </row>
    <row r="196" spans="4:31" ht="13.5" customHeight="1"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Y196" s="40"/>
      <c r="Z196" s="40"/>
      <c r="AA196" s="40"/>
      <c r="AB196" s="40"/>
      <c r="AC196" s="40"/>
      <c r="AD196" s="40"/>
      <c r="AE196" s="40"/>
    </row>
    <row r="197" spans="4:31" ht="13.5" customHeight="1"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Y197" s="40"/>
      <c r="Z197" s="40"/>
      <c r="AA197" s="40"/>
      <c r="AB197" s="40"/>
      <c r="AC197" s="40"/>
      <c r="AD197" s="40"/>
      <c r="AE197" s="40"/>
    </row>
    <row r="198" spans="4:31" ht="13.5" customHeight="1"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Y198" s="40"/>
      <c r="Z198" s="40"/>
      <c r="AA198" s="40"/>
      <c r="AB198" s="40"/>
      <c r="AC198" s="40"/>
      <c r="AD198" s="40"/>
      <c r="AE198" s="40"/>
    </row>
    <row r="199" spans="4:31" ht="13.5" customHeight="1"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Y199" s="40"/>
      <c r="Z199" s="40"/>
      <c r="AA199" s="40"/>
      <c r="AB199" s="40"/>
      <c r="AC199" s="40"/>
      <c r="AD199" s="40"/>
      <c r="AE199" s="40"/>
    </row>
    <row r="200" spans="4:31" ht="13.5" customHeight="1"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Y200" s="40"/>
      <c r="Z200" s="40"/>
      <c r="AA200" s="40"/>
      <c r="AB200" s="40"/>
      <c r="AC200" s="40"/>
      <c r="AD200" s="40"/>
      <c r="AE200" s="40"/>
    </row>
    <row r="201" spans="4:31" ht="13.5" customHeight="1"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Y201" s="40"/>
      <c r="Z201" s="40"/>
      <c r="AA201" s="40"/>
      <c r="AB201" s="40"/>
      <c r="AC201" s="40"/>
      <c r="AD201" s="40"/>
      <c r="AE201" s="40"/>
    </row>
    <row r="202" spans="4:31" ht="13.5" customHeight="1"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Y202" s="40"/>
      <c r="Z202" s="40"/>
      <c r="AA202" s="40"/>
      <c r="AB202" s="40"/>
      <c r="AC202" s="40"/>
      <c r="AD202" s="40"/>
      <c r="AE202" s="40"/>
    </row>
    <row r="203" spans="4:31" ht="13.5" customHeight="1"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Y203" s="40"/>
      <c r="Z203" s="40"/>
      <c r="AA203" s="40"/>
      <c r="AB203" s="40"/>
      <c r="AC203" s="40"/>
      <c r="AD203" s="40"/>
      <c r="AE203" s="40"/>
    </row>
    <row r="204" spans="4:31" ht="13.5" customHeight="1"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Y204" s="40"/>
      <c r="Z204" s="40"/>
      <c r="AA204" s="40"/>
      <c r="AB204" s="40"/>
      <c r="AC204" s="40"/>
      <c r="AD204" s="40"/>
      <c r="AE204" s="40"/>
    </row>
    <row r="205" spans="4:31" ht="13.5" customHeight="1"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Y205" s="40"/>
      <c r="Z205" s="40"/>
      <c r="AA205" s="40"/>
      <c r="AB205" s="40"/>
      <c r="AC205" s="40"/>
      <c r="AD205" s="40"/>
      <c r="AE205" s="40"/>
    </row>
    <row r="206" spans="4:31" ht="13.5" customHeight="1"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Y206" s="40"/>
      <c r="Z206" s="40"/>
      <c r="AA206" s="40"/>
      <c r="AB206" s="40"/>
      <c r="AC206" s="40"/>
      <c r="AD206" s="40"/>
      <c r="AE206" s="40"/>
    </row>
    <row r="207" spans="4:31" ht="13.5" customHeight="1"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Y207" s="40"/>
      <c r="Z207" s="40"/>
      <c r="AA207" s="40"/>
      <c r="AB207" s="40"/>
      <c r="AC207" s="40"/>
      <c r="AD207" s="40"/>
      <c r="AE207" s="40"/>
    </row>
    <row r="208" spans="4:31" ht="13.5" customHeight="1"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Y208" s="40"/>
      <c r="Z208" s="40"/>
      <c r="AA208" s="40"/>
      <c r="AB208" s="40"/>
      <c r="AC208" s="40"/>
      <c r="AD208" s="40"/>
      <c r="AE208" s="40"/>
    </row>
    <row r="209" spans="4:31" ht="13.5" customHeight="1"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Y209" s="40"/>
      <c r="Z209" s="40"/>
      <c r="AA209" s="40"/>
      <c r="AB209" s="40"/>
      <c r="AC209" s="40"/>
      <c r="AD209" s="40"/>
      <c r="AE209" s="40"/>
    </row>
    <row r="210" spans="4:31" ht="13.5" customHeight="1"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Y210" s="40"/>
      <c r="Z210" s="40"/>
      <c r="AA210" s="40"/>
      <c r="AB210" s="40"/>
      <c r="AC210" s="40"/>
      <c r="AD210" s="40"/>
      <c r="AE210" s="40"/>
    </row>
    <row r="211" spans="4:31" ht="13.5" customHeight="1"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Y211" s="40"/>
      <c r="Z211" s="40"/>
      <c r="AA211" s="40"/>
      <c r="AB211" s="40"/>
      <c r="AC211" s="40"/>
      <c r="AD211" s="40"/>
      <c r="AE211" s="40"/>
    </row>
    <row r="212" spans="4:31" ht="13.5" customHeight="1"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Y212" s="40"/>
      <c r="Z212" s="40"/>
      <c r="AA212" s="40"/>
      <c r="AB212" s="40"/>
      <c r="AC212" s="40"/>
      <c r="AD212" s="40"/>
      <c r="AE212" s="40"/>
    </row>
    <row r="213" spans="4:31" ht="13.5" customHeight="1"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Y213" s="40"/>
      <c r="Z213" s="40"/>
      <c r="AA213" s="40"/>
      <c r="AB213" s="40"/>
      <c r="AC213" s="40"/>
      <c r="AD213" s="40"/>
      <c r="AE213" s="40"/>
    </row>
    <row r="214" spans="4:31" ht="13.5" customHeight="1"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Y214" s="40"/>
      <c r="Z214" s="40"/>
      <c r="AA214" s="40"/>
      <c r="AB214" s="40"/>
      <c r="AC214" s="40"/>
      <c r="AD214" s="40"/>
      <c r="AE214" s="40"/>
    </row>
    <row r="215" spans="4:31" ht="13.5" customHeight="1"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Y215" s="40"/>
      <c r="Z215" s="40"/>
      <c r="AA215" s="40"/>
      <c r="AB215" s="40"/>
      <c r="AC215" s="40"/>
      <c r="AD215" s="40"/>
      <c r="AE215" s="40"/>
    </row>
    <row r="216" spans="4:31" ht="13.5" customHeight="1"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Y216" s="40"/>
      <c r="Z216" s="40"/>
      <c r="AA216" s="40"/>
      <c r="AB216" s="40"/>
      <c r="AC216" s="40"/>
      <c r="AD216" s="40"/>
      <c r="AE216" s="40"/>
    </row>
    <row r="217" spans="4:31" ht="13.5" customHeight="1"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Y217" s="40"/>
      <c r="Z217" s="40"/>
      <c r="AA217" s="40"/>
      <c r="AB217" s="40"/>
      <c r="AC217" s="40"/>
      <c r="AD217" s="40"/>
      <c r="AE217" s="40"/>
    </row>
    <row r="218" spans="4:31" ht="13.5" customHeight="1"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Y218" s="40"/>
      <c r="Z218" s="40"/>
      <c r="AA218" s="40"/>
      <c r="AB218" s="40"/>
      <c r="AC218" s="40"/>
      <c r="AD218" s="40"/>
      <c r="AE218" s="40"/>
    </row>
    <row r="219" spans="4:31" ht="13.5" customHeight="1"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Y219" s="40"/>
      <c r="Z219" s="40"/>
      <c r="AA219" s="40"/>
      <c r="AB219" s="40"/>
      <c r="AC219" s="40"/>
      <c r="AD219" s="40"/>
      <c r="AE219" s="40"/>
    </row>
    <row r="220" spans="4:31" ht="13.5" customHeight="1"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Y220" s="40"/>
      <c r="Z220" s="40"/>
      <c r="AA220" s="40"/>
      <c r="AB220" s="40"/>
      <c r="AC220" s="40"/>
      <c r="AD220" s="40"/>
      <c r="AE220" s="40"/>
    </row>
    <row r="221" spans="4:31" ht="13.5" customHeight="1"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Y221" s="40"/>
      <c r="Z221" s="40"/>
      <c r="AA221" s="40"/>
      <c r="AB221" s="40"/>
      <c r="AC221" s="40"/>
      <c r="AD221" s="40"/>
      <c r="AE221" s="40"/>
    </row>
    <row r="222" spans="4:31" ht="13.5" customHeight="1"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Y222" s="40"/>
      <c r="Z222" s="40"/>
      <c r="AA222" s="40"/>
      <c r="AB222" s="40"/>
      <c r="AC222" s="40"/>
      <c r="AD222" s="40"/>
      <c r="AE222" s="40"/>
    </row>
    <row r="223" spans="4:31" ht="13.5" customHeight="1"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Y223" s="40"/>
      <c r="Z223" s="40"/>
      <c r="AA223" s="40"/>
      <c r="AB223" s="40"/>
      <c r="AC223" s="40"/>
      <c r="AD223" s="40"/>
      <c r="AE223" s="40"/>
    </row>
    <row r="224" spans="4:31" ht="13.5" customHeight="1"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Y224" s="40"/>
      <c r="Z224" s="40"/>
      <c r="AA224" s="40"/>
      <c r="AB224" s="40"/>
      <c r="AC224" s="40"/>
      <c r="AD224" s="40"/>
      <c r="AE224" s="40"/>
    </row>
    <row r="225" spans="4:31" ht="13.5" customHeight="1"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Y225" s="40"/>
      <c r="Z225" s="40"/>
      <c r="AA225" s="40"/>
      <c r="AB225" s="40"/>
      <c r="AC225" s="40"/>
      <c r="AD225" s="40"/>
      <c r="AE225" s="40"/>
    </row>
    <row r="226" spans="4:31" ht="13.5" customHeight="1"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Y226" s="40"/>
      <c r="Z226" s="40"/>
      <c r="AA226" s="40"/>
      <c r="AB226" s="40"/>
      <c r="AC226" s="40"/>
      <c r="AD226" s="40"/>
      <c r="AE226" s="40"/>
    </row>
    <row r="227" spans="4:31" ht="13.5" customHeight="1"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Y227" s="40"/>
      <c r="Z227" s="40"/>
      <c r="AA227" s="40"/>
      <c r="AB227" s="40"/>
      <c r="AC227" s="40"/>
      <c r="AD227" s="40"/>
      <c r="AE227" s="40"/>
    </row>
    <row r="228" spans="4:31" ht="13.5" customHeight="1"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Y228" s="40"/>
      <c r="Z228" s="40"/>
      <c r="AA228" s="40"/>
      <c r="AB228" s="40"/>
      <c r="AC228" s="40"/>
      <c r="AD228" s="40"/>
      <c r="AE228" s="40"/>
    </row>
    <row r="229" spans="4:31" ht="13.5" customHeight="1"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Y229" s="40"/>
      <c r="Z229" s="40"/>
      <c r="AA229" s="40"/>
      <c r="AB229" s="40"/>
      <c r="AC229" s="40"/>
      <c r="AD229" s="40"/>
      <c r="AE229" s="40"/>
    </row>
    <row r="230" spans="4:31" ht="13.5" customHeight="1"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Y230" s="40"/>
      <c r="Z230" s="40"/>
      <c r="AA230" s="40"/>
      <c r="AB230" s="40"/>
      <c r="AC230" s="40"/>
      <c r="AD230" s="40"/>
      <c r="AE230" s="40"/>
    </row>
    <row r="231" spans="4:31" ht="13.5" customHeight="1"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Y231" s="40"/>
      <c r="Z231" s="40"/>
      <c r="AA231" s="40"/>
      <c r="AB231" s="40"/>
      <c r="AC231" s="40"/>
      <c r="AD231" s="40"/>
      <c r="AE231" s="40"/>
    </row>
    <row r="232" spans="4:31" ht="13.5" customHeight="1"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Y232" s="40"/>
      <c r="Z232" s="40"/>
      <c r="AA232" s="40"/>
      <c r="AB232" s="40"/>
      <c r="AC232" s="40"/>
      <c r="AD232" s="40"/>
      <c r="AE232" s="40"/>
    </row>
    <row r="233" spans="4:31" ht="13.5" customHeight="1"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Y233" s="40"/>
      <c r="Z233" s="40"/>
      <c r="AA233" s="40"/>
      <c r="AB233" s="40"/>
      <c r="AC233" s="40"/>
      <c r="AD233" s="40"/>
      <c r="AE233" s="40"/>
    </row>
    <row r="234" spans="4:31" ht="13.5" customHeight="1"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Y234" s="40"/>
      <c r="Z234" s="40"/>
      <c r="AA234" s="40"/>
      <c r="AB234" s="40"/>
      <c r="AC234" s="40"/>
      <c r="AD234" s="40"/>
      <c r="AE234" s="40"/>
    </row>
    <row r="235" spans="4:31" ht="13.5" customHeight="1"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Y235" s="40"/>
      <c r="Z235" s="40"/>
      <c r="AA235" s="40"/>
      <c r="AB235" s="40"/>
      <c r="AC235" s="40"/>
      <c r="AD235" s="40"/>
      <c r="AE235" s="40"/>
    </row>
    <row r="236" spans="4:31" ht="13.5" customHeight="1"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Y236" s="40"/>
      <c r="Z236" s="40"/>
      <c r="AA236" s="40"/>
      <c r="AB236" s="40"/>
      <c r="AC236" s="40"/>
      <c r="AD236" s="40"/>
      <c r="AE236" s="40"/>
    </row>
    <row r="237" spans="4:31" ht="13.5" customHeight="1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Y237" s="40"/>
      <c r="Z237" s="40"/>
      <c r="AA237" s="40"/>
      <c r="AB237" s="40"/>
      <c r="AC237" s="40"/>
      <c r="AD237" s="40"/>
      <c r="AE237" s="40"/>
    </row>
    <row r="238" spans="4:31" ht="13.5" customHeight="1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Y238" s="40"/>
      <c r="Z238" s="40"/>
      <c r="AA238" s="40"/>
      <c r="AB238" s="40"/>
      <c r="AC238" s="40"/>
      <c r="AD238" s="40"/>
      <c r="AE238" s="40"/>
    </row>
    <row r="239" spans="4:31" ht="13.5" customHeight="1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Y239" s="40"/>
      <c r="Z239" s="40"/>
      <c r="AA239" s="40"/>
      <c r="AB239" s="40"/>
      <c r="AC239" s="40"/>
      <c r="AD239" s="40"/>
      <c r="AE239" s="40"/>
    </row>
    <row r="240" spans="4:31" ht="13.5" customHeight="1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Y240" s="40"/>
      <c r="Z240" s="40"/>
      <c r="AA240" s="40"/>
      <c r="AB240" s="40"/>
      <c r="AC240" s="40"/>
      <c r="AD240" s="40"/>
      <c r="AE240" s="40"/>
    </row>
    <row r="241" spans="4:31" ht="13.5" customHeight="1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Y241" s="40"/>
      <c r="Z241" s="40"/>
      <c r="AA241" s="40"/>
      <c r="AB241" s="40"/>
      <c r="AC241" s="40"/>
      <c r="AD241" s="40"/>
      <c r="AE241" s="40"/>
    </row>
    <row r="242" spans="4:31" ht="13.5" customHeight="1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Y242" s="40"/>
      <c r="Z242" s="40"/>
      <c r="AA242" s="40"/>
      <c r="AB242" s="40"/>
      <c r="AC242" s="40"/>
      <c r="AD242" s="40"/>
      <c r="AE242" s="40"/>
    </row>
    <row r="243" spans="4:31" ht="13.5" customHeight="1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Y243" s="40"/>
      <c r="Z243" s="40"/>
      <c r="AA243" s="40"/>
      <c r="AB243" s="40"/>
      <c r="AC243" s="40"/>
      <c r="AD243" s="40"/>
      <c r="AE243" s="40"/>
    </row>
    <row r="244" spans="4:31" ht="13.5" customHeight="1"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Y244" s="40"/>
      <c r="Z244" s="40"/>
      <c r="AA244" s="40"/>
      <c r="AB244" s="40"/>
      <c r="AC244" s="40"/>
      <c r="AD244" s="40"/>
      <c r="AE244" s="40"/>
    </row>
    <row r="245" spans="4:31" ht="13.5" customHeight="1"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Y245" s="40"/>
      <c r="Z245" s="40"/>
      <c r="AA245" s="40"/>
      <c r="AB245" s="40"/>
      <c r="AC245" s="40"/>
      <c r="AD245" s="40"/>
      <c r="AE245" s="40"/>
    </row>
    <row r="246" spans="4:31" ht="13.5" customHeight="1"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Y246" s="40"/>
      <c r="Z246" s="40"/>
      <c r="AA246" s="40"/>
      <c r="AB246" s="40"/>
      <c r="AC246" s="40"/>
      <c r="AD246" s="40"/>
      <c r="AE246" s="40"/>
    </row>
    <row r="247" spans="4:31" ht="13.5" customHeight="1"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Y247" s="40"/>
      <c r="Z247" s="40"/>
      <c r="AA247" s="40"/>
      <c r="AB247" s="40"/>
      <c r="AC247" s="40"/>
      <c r="AD247" s="40"/>
      <c r="AE247" s="40"/>
    </row>
    <row r="248" spans="4:31" ht="13.5" customHeight="1"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Y248" s="40"/>
      <c r="Z248" s="40"/>
      <c r="AA248" s="40"/>
      <c r="AB248" s="40"/>
      <c r="AC248" s="40"/>
      <c r="AD248" s="40"/>
      <c r="AE248" s="40"/>
    </row>
    <row r="249" spans="4:31" ht="13.5" customHeight="1"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Y249" s="40"/>
      <c r="Z249" s="40"/>
      <c r="AA249" s="40"/>
      <c r="AB249" s="40"/>
      <c r="AC249" s="40"/>
      <c r="AD249" s="40"/>
      <c r="AE249" s="40"/>
    </row>
    <row r="250" spans="4:31" ht="13.5" customHeight="1"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Y250" s="40"/>
      <c r="Z250" s="40"/>
      <c r="AA250" s="40"/>
      <c r="AB250" s="40"/>
      <c r="AC250" s="40"/>
      <c r="AD250" s="40"/>
      <c r="AE250" s="40"/>
    </row>
    <row r="251" spans="4:31" ht="13.5" customHeight="1"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Y251" s="40"/>
      <c r="Z251" s="40"/>
      <c r="AA251" s="40"/>
      <c r="AB251" s="40"/>
      <c r="AC251" s="40"/>
      <c r="AD251" s="40"/>
      <c r="AE251" s="40"/>
    </row>
    <row r="252" spans="4:31" ht="13.5" customHeight="1"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Y252" s="40"/>
      <c r="Z252" s="40"/>
      <c r="AA252" s="40"/>
      <c r="AB252" s="40"/>
      <c r="AC252" s="40"/>
      <c r="AD252" s="40"/>
      <c r="AE252" s="40"/>
    </row>
    <row r="253" spans="4:31" ht="13.5" customHeight="1"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Y253" s="40"/>
      <c r="Z253" s="40"/>
      <c r="AA253" s="40"/>
      <c r="AB253" s="40"/>
      <c r="AC253" s="40"/>
      <c r="AD253" s="40"/>
      <c r="AE253" s="40"/>
    </row>
    <row r="254" spans="4:31" ht="13.5" customHeight="1"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Y254" s="40"/>
      <c r="Z254" s="40"/>
      <c r="AA254" s="40"/>
      <c r="AB254" s="40"/>
      <c r="AC254" s="40"/>
      <c r="AD254" s="40"/>
      <c r="AE254" s="40"/>
    </row>
    <row r="255" spans="4:31" ht="13.5" customHeight="1"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Y255" s="40"/>
      <c r="Z255" s="40"/>
      <c r="AA255" s="40"/>
      <c r="AB255" s="40"/>
      <c r="AC255" s="40"/>
      <c r="AD255" s="40"/>
      <c r="AE255" s="40"/>
    </row>
    <row r="256" spans="4:31" ht="13.5" customHeight="1"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Y256" s="40"/>
      <c r="Z256" s="40"/>
      <c r="AA256" s="40"/>
      <c r="AB256" s="40"/>
      <c r="AC256" s="40"/>
      <c r="AD256" s="40"/>
      <c r="AE256" s="40"/>
    </row>
    <row r="257" spans="4:31" ht="13.5" customHeight="1"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Y257" s="40"/>
      <c r="Z257" s="40"/>
      <c r="AA257" s="40"/>
      <c r="AB257" s="40"/>
      <c r="AC257" s="40"/>
      <c r="AD257" s="40"/>
      <c r="AE257" s="40"/>
    </row>
    <row r="258" spans="4:31" ht="13.5" customHeight="1"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Y258" s="40"/>
      <c r="Z258" s="40"/>
      <c r="AA258" s="40"/>
      <c r="AB258" s="40"/>
      <c r="AC258" s="40"/>
      <c r="AD258" s="40"/>
      <c r="AE258" s="40"/>
    </row>
    <row r="259" spans="4:31" ht="13.5" customHeight="1"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Y259" s="40"/>
      <c r="Z259" s="40"/>
      <c r="AA259" s="40"/>
      <c r="AB259" s="40"/>
      <c r="AC259" s="40"/>
      <c r="AD259" s="40"/>
      <c r="AE259" s="40"/>
    </row>
    <row r="260" spans="4:31" ht="13.5" customHeight="1"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Y260" s="40"/>
      <c r="Z260" s="40"/>
      <c r="AA260" s="40"/>
      <c r="AB260" s="40"/>
      <c r="AC260" s="40"/>
      <c r="AD260" s="40"/>
      <c r="AE260" s="40"/>
    </row>
    <row r="261" spans="4:31" ht="13.5" customHeight="1"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Y261" s="40"/>
      <c r="Z261" s="40"/>
      <c r="AA261" s="40"/>
      <c r="AB261" s="40"/>
      <c r="AC261" s="40"/>
      <c r="AD261" s="40"/>
      <c r="AE261" s="40"/>
    </row>
    <row r="262" spans="4:31" ht="13.5" customHeight="1"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Y262" s="40"/>
      <c r="Z262" s="40"/>
      <c r="AA262" s="40"/>
      <c r="AB262" s="40"/>
      <c r="AC262" s="40"/>
      <c r="AD262" s="40"/>
      <c r="AE262" s="40"/>
    </row>
    <row r="263" spans="4:31" ht="13.5" customHeight="1"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Y263" s="40"/>
      <c r="Z263" s="40"/>
      <c r="AA263" s="40"/>
      <c r="AB263" s="40"/>
      <c r="AC263" s="40"/>
      <c r="AD263" s="40"/>
      <c r="AE263" s="40"/>
    </row>
    <row r="264" spans="4:31" ht="13.5" customHeight="1"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Y264" s="40"/>
      <c r="Z264" s="40"/>
      <c r="AA264" s="40"/>
      <c r="AB264" s="40"/>
      <c r="AC264" s="40"/>
      <c r="AD264" s="40"/>
      <c r="AE264" s="40"/>
    </row>
    <row r="265" spans="4:31" ht="13.5" customHeight="1"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Y265" s="40"/>
      <c r="Z265" s="40"/>
      <c r="AA265" s="40"/>
      <c r="AB265" s="40"/>
      <c r="AC265" s="40"/>
      <c r="AD265" s="40"/>
      <c r="AE265" s="40"/>
    </row>
    <row r="266" spans="4:31" ht="13.5" customHeight="1"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Y266" s="40"/>
      <c r="Z266" s="40"/>
      <c r="AA266" s="40"/>
      <c r="AB266" s="40"/>
      <c r="AC266" s="40"/>
      <c r="AD266" s="40"/>
      <c r="AE266" s="40"/>
    </row>
    <row r="267" spans="4:31" ht="13.5" customHeight="1"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Y267" s="40"/>
      <c r="Z267" s="40"/>
      <c r="AA267" s="40"/>
      <c r="AB267" s="40"/>
      <c r="AC267" s="40"/>
      <c r="AD267" s="40"/>
      <c r="AE267" s="40"/>
    </row>
    <row r="268" spans="4:31" ht="13.5" customHeight="1"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Y268" s="40"/>
      <c r="Z268" s="40"/>
      <c r="AA268" s="40"/>
      <c r="AB268" s="40"/>
      <c r="AC268" s="40"/>
      <c r="AD268" s="40"/>
      <c r="AE268" s="40"/>
    </row>
    <row r="269" spans="4:31" ht="13.5" customHeight="1"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Y269" s="40"/>
      <c r="Z269" s="40"/>
      <c r="AA269" s="40"/>
      <c r="AB269" s="40"/>
      <c r="AC269" s="40"/>
      <c r="AD269" s="40"/>
      <c r="AE269" s="40"/>
    </row>
    <row r="270" spans="4:31" ht="13.5" customHeight="1"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Y270" s="40"/>
      <c r="Z270" s="40"/>
      <c r="AA270" s="40"/>
      <c r="AB270" s="40"/>
      <c r="AC270" s="40"/>
      <c r="AD270" s="40"/>
      <c r="AE270" s="40"/>
    </row>
    <row r="271" spans="4:31" ht="13.5" customHeight="1"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Y271" s="40"/>
      <c r="Z271" s="40"/>
      <c r="AA271" s="40"/>
      <c r="AB271" s="40"/>
      <c r="AC271" s="40"/>
      <c r="AD271" s="40"/>
      <c r="AE271" s="40"/>
    </row>
    <row r="272" spans="4:31" ht="13.5" customHeight="1"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Y272" s="40"/>
      <c r="Z272" s="40"/>
      <c r="AA272" s="40"/>
      <c r="AB272" s="40"/>
      <c r="AC272" s="40"/>
      <c r="AD272" s="40"/>
      <c r="AE272" s="40"/>
    </row>
    <row r="273" spans="4:31" ht="13.5" customHeight="1"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Y273" s="40"/>
      <c r="Z273" s="40"/>
      <c r="AA273" s="40"/>
      <c r="AB273" s="40"/>
      <c r="AC273" s="40"/>
      <c r="AD273" s="40"/>
      <c r="AE273" s="40"/>
    </row>
    <row r="274" spans="4:31" ht="13.5" customHeight="1"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Y274" s="40"/>
      <c r="Z274" s="40"/>
      <c r="AA274" s="40"/>
      <c r="AB274" s="40"/>
      <c r="AC274" s="40"/>
      <c r="AD274" s="40"/>
      <c r="AE274" s="40"/>
    </row>
    <row r="275" spans="4:31" ht="13.5" customHeight="1"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Y275" s="40"/>
      <c r="Z275" s="40"/>
      <c r="AA275" s="40"/>
      <c r="AB275" s="40"/>
      <c r="AC275" s="40"/>
      <c r="AD275" s="40"/>
      <c r="AE275" s="40"/>
    </row>
    <row r="276" spans="4:31" ht="13.5" customHeight="1"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Y276" s="40"/>
      <c r="Z276" s="40"/>
      <c r="AA276" s="40"/>
      <c r="AB276" s="40"/>
      <c r="AC276" s="40"/>
      <c r="AD276" s="40"/>
      <c r="AE276" s="40"/>
    </row>
    <row r="277" spans="4:31" ht="13.5" customHeight="1"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Y277" s="40"/>
      <c r="Z277" s="40"/>
      <c r="AA277" s="40"/>
      <c r="AB277" s="40"/>
      <c r="AC277" s="40"/>
      <c r="AD277" s="40"/>
      <c r="AE277" s="40"/>
    </row>
    <row r="278" spans="4:31" ht="13.5" customHeight="1"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Y278" s="40"/>
      <c r="Z278" s="40"/>
      <c r="AA278" s="40"/>
      <c r="AB278" s="40"/>
      <c r="AC278" s="40"/>
      <c r="AD278" s="40"/>
      <c r="AE278" s="40"/>
    </row>
    <row r="279" spans="4:31" ht="13.5" customHeight="1"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Y279" s="40"/>
      <c r="Z279" s="40"/>
      <c r="AA279" s="40"/>
      <c r="AB279" s="40"/>
      <c r="AC279" s="40"/>
      <c r="AD279" s="40"/>
      <c r="AE279" s="40"/>
    </row>
    <row r="280" spans="4:31" ht="13.5" customHeight="1"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Y280" s="40"/>
      <c r="Z280" s="40"/>
      <c r="AA280" s="40"/>
      <c r="AB280" s="40"/>
      <c r="AC280" s="40"/>
      <c r="AD280" s="40"/>
      <c r="AE280" s="40"/>
    </row>
    <row r="281" spans="4:31" ht="13.5" customHeight="1"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Y281" s="40"/>
      <c r="Z281" s="40"/>
      <c r="AA281" s="40"/>
      <c r="AB281" s="40"/>
      <c r="AC281" s="40"/>
      <c r="AD281" s="40"/>
      <c r="AE281" s="40"/>
    </row>
    <row r="282" spans="4:31" ht="13.5" customHeight="1"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Y282" s="40"/>
      <c r="Z282" s="40"/>
      <c r="AA282" s="40"/>
      <c r="AB282" s="40"/>
      <c r="AC282" s="40"/>
      <c r="AD282" s="40"/>
      <c r="AE282" s="40"/>
    </row>
    <row r="283" spans="4:31" ht="13.5" customHeight="1"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Y283" s="40"/>
      <c r="Z283" s="40"/>
      <c r="AA283" s="40"/>
      <c r="AB283" s="40"/>
      <c r="AC283" s="40"/>
      <c r="AD283" s="40"/>
      <c r="AE283" s="40"/>
    </row>
    <row r="284" spans="4:31" ht="13.5" customHeight="1"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Y284" s="40"/>
      <c r="Z284" s="40"/>
      <c r="AA284" s="40"/>
      <c r="AB284" s="40"/>
      <c r="AC284" s="40"/>
      <c r="AD284" s="40"/>
      <c r="AE284" s="40"/>
    </row>
    <row r="285" spans="4:31" ht="13.5" customHeight="1"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Y285" s="40"/>
      <c r="Z285" s="40"/>
      <c r="AA285" s="40"/>
      <c r="AB285" s="40"/>
      <c r="AC285" s="40"/>
      <c r="AD285" s="40"/>
      <c r="AE285" s="40"/>
    </row>
    <row r="286" spans="4:31" ht="13.5" customHeight="1"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Y286" s="40"/>
      <c r="Z286" s="40"/>
      <c r="AA286" s="40"/>
      <c r="AB286" s="40"/>
      <c r="AC286" s="40"/>
      <c r="AD286" s="40"/>
      <c r="AE286" s="40"/>
    </row>
    <row r="287" spans="4:31" ht="13.5" customHeight="1"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Y287" s="40"/>
      <c r="Z287" s="40"/>
      <c r="AA287" s="40"/>
      <c r="AB287" s="40"/>
      <c r="AC287" s="40"/>
      <c r="AD287" s="40"/>
      <c r="AE287" s="40"/>
    </row>
    <row r="288" spans="4:31" ht="13.5" customHeight="1"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Y288" s="40"/>
      <c r="Z288" s="40"/>
      <c r="AA288" s="40"/>
      <c r="AB288" s="40"/>
      <c r="AC288" s="40"/>
      <c r="AD288" s="40"/>
      <c r="AE288" s="40"/>
    </row>
    <row r="289" spans="4:31" ht="13.5" customHeight="1"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Y289" s="40"/>
      <c r="Z289" s="40"/>
      <c r="AA289" s="40"/>
      <c r="AB289" s="40"/>
      <c r="AC289" s="40"/>
      <c r="AD289" s="40"/>
      <c r="AE289" s="40"/>
    </row>
    <row r="290" spans="4:31" ht="13.5" customHeight="1"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Y290" s="40"/>
      <c r="Z290" s="40"/>
      <c r="AA290" s="40"/>
      <c r="AB290" s="40"/>
      <c r="AC290" s="40"/>
      <c r="AD290" s="40"/>
      <c r="AE290" s="40"/>
    </row>
    <row r="291" spans="4:31" ht="13.5" customHeight="1"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Y291" s="40"/>
      <c r="Z291" s="40"/>
      <c r="AA291" s="40"/>
      <c r="AB291" s="40"/>
      <c r="AC291" s="40"/>
      <c r="AD291" s="40"/>
      <c r="AE291" s="40"/>
    </row>
    <row r="292" spans="4:31" ht="13.5" customHeight="1"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Y292" s="40"/>
      <c r="Z292" s="40"/>
      <c r="AA292" s="40"/>
      <c r="AB292" s="40"/>
      <c r="AC292" s="40"/>
      <c r="AD292" s="40"/>
      <c r="AE292" s="40"/>
    </row>
    <row r="293" spans="4:31" ht="13.5" customHeight="1"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Y293" s="40"/>
      <c r="Z293" s="40"/>
      <c r="AA293" s="40"/>
      <c r="AB293" s="40"/>
      <c r="AC293" s="40"/>
      <c r="AD293" s="40"/>
      <c r="AE293" s="40"/>
    </row>
    <row r="294" spans="4:31" ht="13.5" customHeight="1"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Y294" s="40"/>
      <c r="Z294" s="40"/>
      <c r="AA294" s="40"/>
      <c r="AB294" s="40"/>
      <c r="AC294" s="40"/>
      <c r="AD294" s="40"/>
      <c r="AE294" s="40"/>
    </row>
    <row r="295" spans="4:31" ht="13.5" customHeight="1"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Y295" s="40"/>
      <c r="Z295" s="40"/>
      <c r="AA295" s="40"/>
      <c r="AB295" s="40"/>
      <c r="AC295" s="40"/>
      <c r="AD295" s="40"/>
      <c r="AE295" s="40"/>
    </row>
    <row r="296" spans="4:31" ht="13.5" customHeight="1"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Y296" s="40"/>
      <c r="Z296" s="40"/>
      <c r="AA296" s="40"/>
      <c r="AB296" s="40"/>
      <c r="AC296" s="40"/>
      <c r="AD296" s="40"/>
      <c r="AE296" s="40"/>
    </row>
    <row r="297" spans="4:31" ht="13.5" customHeight="1"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Y297" s="40"/>
      <c r="Z297" s="40"/>
      <c r="AA297" s="40"/>
      <c r="AB297" s="40"/>
      <c r="AC297" s="40"/>
      <c r="AD297" s="40"/>
      <c r="AE297" s="40"/>
    </row>
    <row r="298" spans="4:31" ht="13.5" customHeight="1"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Y298" s="40"/>
      <c r="Z298" s="40"/>
      <c r="AA298" s="40"/>
      <c r="AB298" s="40"/>
      <c r="AC298" s="40"/>
      <c r="AD298" s="40"/>
      <c r="AE298" s="40"/>
    </row>
    <row r="299" spans="4:31" ht="13.5" customHeight="1"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Y299" s="40"/>
      <c r="Z299" s="40"/>
      <c r="AA299" s="40"/>
      <c r="AB299" s="40"/>
      <c r="AC299" s="40"/>
      <c r="AD299" s="40"/>
      <c r="AE299" s="40"/>
    </row>
    <row r="300" spans="4:31" ht="13.5" customHeight="1"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Y300" s="40"/>
      <c r="Z300" s="40"/>
      <c r="AA300" s="40"/>
      <c r="AB300" s="40"/>
      <c r="AC300" s="40"/>
      <c r="AD300" s="40"/>
      <c r="AE300" s="40"/>
    </row>
    <row r="301" spans="4:31" ht="13.5" customHeight="1"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Y301" s="40"/>
      <c r="Z301" s="40"/>
      <c r="AA301" s="40"/>
      <c r="AB301" s="40"/>
      <c r="AC301" s="40"/>
      <c r="AD301" s="40"/>
      <c r="AE301" s="40"/>
    </row>
    <row r="302" spans="4:31" ht="13.5" customHeight="1"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Y302" s="40"/>
      <c r="Z302" s="40"/>
      <c r="AA302" s="40"/>
      <c r="AB302" s="40"/>
      <c r="AC302" s="40"/>
      <c r="AD302" s="40"/>
      <c r="AE302" s="40"/>
    </row>
    <row r="303" spans="4:31" ht="13.5" customHeight="1"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Y303" s="40"/>
      <c r="Z303" s="40"/>
      <c r="AA303" s="40"/>
      <c r="AB303" s="40"/>
      <c r="AC303" s="40"/>
      <c r="AD303" s="40"/>
      <c r="AE303" s="40"/>
    </row>
    <row r="304" spans="4:31" ht="13.5" customHeight="1"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Y304" s="40"/>
      <c r="Z304" s="40"/>
      <c r="AA304" s="40"/>
      <c r="AB304" s="40"/>
      <c r="AC304" s="40"/>
      <c r="AD304" s="40"/>
      <c r="AE304" s="40"/>
    </row>
    <row r="305" spans="4:31" ht="13.5" customHeight="1"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Y305" s="40"/>
      <c r="Z305" s="40"/>
      <c r="AA305" s="40"/>
      <c r="AB305" s="40"/>
      <c r="AC305" s="40"/>
      <c r="AD305" s="40"/>
      <c r="AE305" s="40"/>
    </row>
    <row r="306" spans="4:31" ht="13.5" customHeight="1"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Y306" s="40"/>
      <c r="Z306" s="40"/>
      <c r="AA306" s="40"/>
      <c r="AB306" s="40"/>
      <c r="AC306" s="40"/>
      <c r="AD306" s="40"/>
      <c r="AE306" s="40"/>
    </row>
    <row r="307" spans="4:31" ht="13.5" customHeight="1"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Y307" s="40"/>
      <c r="Z307" s="40"/>
      <c r="AA307" s="40"/>
      <c r="AB307" s="40"/>
      <c r="AC307" s="40"/>
      <c r="AD307" s="40"/>
      <c r="AE307" s="40"/>
    </row>
    <row r="308" spans="4:31" ht="13.5" customHeight="1"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Y308" s="40"/>
      <c r="Z308" s="40"/>
      <c r="AA308" s="40"/>
      <c r="AB308" s="40"/>
      <c r="AC308" s="40"/>
      <c r="AD308" s="40"/>
      <c r="AE308" s="40"/>
    </row>
    <row r="309" spans="4:31" ht="13.5" customHeight="1"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Y309" s="40"/>
      <c r="Z309" s="40"/>
      <c r="AA309" s="40"/>
      <c r="AB309" s="40"/>
      <c r="AC309" s="40"/>
      <c r="AD309" s="40"/>
      <c r="AE309" s="40"/>
    </row>
    <row r="310" spans="4:31" ht="13.5" customHeight="1"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Y310" s="40"/>
      <c r="Z310" s="40"/>
      <c r="AA310" s="40"/>
      <c r="AB310" s="40"/>
      <c r="AC310" s="40"/>
      <c r="AD310" s="40"/>
      <c r="AE310" s="40"/>
    </row>
    <row r="311" spans="4:31" ht="13.5" customHeight="1"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Y311" s="40"/>
      <c r="Z311" s="40"/>
      <c r="AA311" s="40"/>
      <c r="AB311" s="40"/>
      <c r="AC311" s="40"/>
      <c r="AD311" s="40"/>
      <c r="AE311" s="40"/>
    </row>
    <row r="312" spans="4:31" ht="13.5" customHeight="1"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Y312" s="40"/>
      <c r="Z312" s="40"/>
      <c r="AA312" s="40"/>
      <c r="AB312" s="40"/>
      <c r="AC312" s="40"/>
      <c r="AD312" s="40"/>
      <c r="AE312" s="40"/>
    </row>
    <row r="313" spans="4:31" ht="13.5" customHeight="1"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Y313" s="40"/>
      <c r="Z313" s="40"/>
      <c r="AA313" s="40"/>
      <c r="AB313" s="40"/>
      <c r="AC313" s="40"/>
      <c r="AD313" s="40"/>
      <c r="AE313" s="40"/>
    </row>
    <row r="314" spans="4:31" ht="13.5" customHeight="1"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Y314" s="40"/>
      <c r="Z314" s="40"/>
      <c r="AA314" s="40"/>
      <c r="AB314" s="40"/>
      <c r="AC314" s="40"/>
      <c r="AD314" s="40"/>
      <c r="AE314" s="40"/>
    </row>
    <row r="315" spans="4:31" ht="13.5" customHeight="1"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Y315" s="40"/>
      <c r="Z315" s="40"/>
      <c r="AA315" s="40"/>
      <c r="AB315" s="40"/>
      <c r="AC315" s="40"/>
      <c r="AD315" s="40"/>
      <c r="AE315" s="40"/>
    </row>
    <row r="316" spans="4:31" ht="13.5" customHeight="1"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Y316" s="40"/>
      <c r="Z316" s="40"/>
      <c r="AA316" s="40"/>
      <c r="AB316" s="40"/>
      <c r="AC316" s="40"/>
      <c r="AD316" s="40"/>
      <c r="AE316" s="40"/>
    </row>
    <row r="317" spans="4:31" ht="13.5" customHeight="1"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Y317" s="40"/>
      <c r="Z317" s="40"/>
      <c r="AA317" s="40"/>
      <c r="AB317" s="40"/>
      <c r="AC317" s="40"/>
      <c r="AD317" s="40"/>
      <c r="AE317" s="40"/>
    </row>
    <row r="318" spans="4:31" ht="13.5" customHeight="1"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Y318" s="40"/>
      <c r="Z318" s="40"/>
      <c r="AA318" s="40"/>
      <c r="AB318" s="40"/>
      <c r="AC318" s="40"/>
      <c r="AD318" s="40"/>
      <c r="AE318" s="40"/>
    </row>
    <row r="319" spans="4:31" ht="13.5" customHeight="1"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Y319" s="40"/>
      <c r="Z319" s="40"/>
      <c r="AA319" s="40"/>
      <c r="AB319" s="40"/>
      <c r="AC319" s="40"/>
      <c r="AD319" s="40"/>
      <c r="AE319" s="40"/>
    </row>
    <row r="320" spans="4:31" ht="13.5" customHeight="1"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Y320" s="40"/>
      <c r="Z320" s="40"/>
      <c r="AA320" s="40"/>
      <c r="AB320" s="40"/>
      <c r="AC320" s="40"/>
      <c r="AD320" s="40"/>
      <c r="AE320" s="40"/>
    </row>
    <row r="321" spans="4:31" ht="13.5" customHeight="1"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Y321" s="40"/>
      <c r="Z321" s="40"/>
      <c r="AA321" s="40"/>
      <c r="AB321" s="40"/>
      <c r="AC321" s="40"/>
      <c r="AD321" s="40"/>
      <c r="AE321" s="40"/>
    </row>
    <row r="322" spans="4:31" ht="13.5" customHeight="1"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Y322" s="40"/>
      <c r="Z322" s="40"/>
      <c r="AA322" s="40"/>
      <c r="AB322" s="40"/>
      <c r="AC322" s="40"/>
      <c r="AD322" s="40"/>
      <c r="AE322" s="40"/>
    </row>
    <row r="323" spans="4:31" ht="13.5" customHeight="1"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Y323" s="40"/>
      <c r="Z323" s="40"/>
      <c r="AA323" s="40"/>
      <c r="AB323" s="40"/>
      <c r="AC323" s="40"/>
      <c r="AD323" s="40"/>
      <c r="AE323" s="40"/>
    </row>
    <row r="324" spans="4:31" ht="13.5" customHeight="1"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Y324" s="40"/>
      <c r="Z324" s="40"/>
      <c r="AA324" s="40"/>
      <c r="AB324" s="40"/>
      <c r="AC324" s="40"/>
      <c r="AD324" s="40"/>
      <c r="AE324" s="40"/>
    </row>
    <row r="325" spans="4:31" ht="13.5" customHeight="1"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Y325" s="40"/>
      <c r="Z325" s="40"/>
      <c r="AA325" s="40"/>
      <c r="AB325" s="40"/>
      <c r="AC325" s="40"/>
      <c r="AD325" s="40"/>
      <c r="AE325" s="40"/>
    </row>
    <row r="326" spans="4:31" ht="13.5" customHeight="1"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Y326" s="40"/>
      <c r="Z326" s="40"/>
      <c r="AA326" s="40"/>
      <c r="AB326" s="40"/>
      <c r="AC326" s="40"/>
      <c r="AD326" s="40"/>
      <c r="AE326" s="40"/>
    </row>
    <row r="327" spans="4:31" ht="13.5" customHeight="1"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Y327" s="40"/>
      <c r="Z327" s="40"/>
      <c r="AA327" s="40"/>
      <c r="AB327" s="40"/>
      <c r="AC327" s="40"/>
      <c r="AD327" s="40"/>
      <c r="AE327" s="40"/>
    </row>
    <row r="328" spans="4:31" ht="13.5" customHeight="1"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Y328" s="40"/>
      <c r="Z328" s="40"/>
      <c r="AA328" s="40"/>
      <c r="AB328" s="40"/>
      <c r="AC328" s="40"/>
      <c r="AD328" s="40"/>
      <c r="AE328" s="40"/>
    </row>
    <row r="329" spans="4:31" ht="13.5" customHeight="1"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Y329" s="40"/>
      <c r="Z329" s="40"/>
      <c r="AA329" s="40"/>
      <c r="AB329" s="40"/>
      <c r="AC329" s="40"/>
      <c r="AD329" s="40"/>
      <c r="AE329" s="40"/>
    </row>
    <row r="330" spans="4:31" ht="13.5" customHeight="1"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Y330" s="40"/>
      <c r="Z330" s="40"/>
      <c r="AA330" s="40"/>
      <c r="AB330" s="40"/>
      <c r="AC330" s="40"/>
      <c r="AD330" s="40"/>
      <c r="AE330" s="40"/>
    </row>
    <row r="331" spans="4:31" ht="13.5" customHeight="1"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Y331" s="40"/>
      <c r="Z331" s="40"/>
      <c r="AA331" s="40"/>
      <c r="AB331" s="40"/>
      <c r="AC331" s="40"/>
      <c r="AD331" s="40"/>
      <c r="AE331" s="40"/>
    </row>
    <row r="332" spans="4:31" ht="13.5" customHeight="1"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Y332" s="40"/>
      <c r="Z332" s="40"/>
      <c r="AA332" s="40"/>
      <c r="AB332" s="40"/>
      <c r="AC332" s="40"/>
      <c r="AD332" s="40"/>
      <c r="AE332" s="40"/>
    </row>
    <row r="333" spans="4:31" ht="13.5" customHeight="1"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Y333" s="40"/>
      <c r="Z333" s="40"/>
      <c r="AA333" s="40"/>
      <c r="AB333" s="40"/>
      <c r="AC333" s="40"/>
      <c r="AD333" s="40"/>
      <c r="AE333" s="40"/>
    </row>
    <row r="334" spans="4:31" ht="13.5" customHeight="1"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Y334" s="40"/>
      <c r="Z334" s="40"/>
      <c r="AA334" s="40"/>
      <c r="AB334" s="40"/>
      <c r="AC334" s="40"/>
      <c r="AD334" s="40"/>
      <c r="AE334" s="40"/>
    </row>
    <row r="335" spans="4:31" ht="13.5" customHeight="1"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Y335" s="40"/>
      <c r="Z335" s="40"/>
      <c r="AA335" s="40"/>
      <c r="AB335" s="40"/>
      <c r="AC335" s="40"/>
      <c r="AD335" s="40"/>
      <c r="AE335" s="40"/>
    </row>
    <row r="336" spans="4:31" ht="13.5" customHeight="1"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Y336" s="40"/>
      <c r="Z336" s="40"/>
      <c r="AA336" s="40"/>
      <c r="AB336" s="40"/>
      <c r="AC336" s="40"/>
      <c r="AD336" s="40"/>
      <c r="AE336" s="40"/>
    </row>
    <row r="337" spans="4:31" ht="13.5" customHeight="1"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Y337" s="40"/>
      <c r="Z337" s="40"/>
      <c r="AA337" s="40"/>
      <c r="AB337" s="40"/>
      <c r="AC337" s="40"/>
      <c r="AD337" s="40"/>
      <c r="AE337" s="40"/>
    </row>
    <row r="338" spans="4:31" ht="13.5" customHeight="1"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Y338" s="40"/>
      <c r="Z338" s="40"/>
      <c r="AA338" s="40"/>
      <c r="AB338" s="40"/>
      <c r="AC338" s="40"/>
      <c r="AD338" s="40"/>
      <c r="AE338" s="40"/>
    </row>
    <row r="339" spans="4:31" ht="13.5" customHeight="1"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Y339" s="40"/>
      <c r="Z339" s="40"/>
      <c r="AA339" s="40"/>
      <c r="AB339" s="40"/>
      <c r="AC339" s="40"/>
      <c r="AD339" s="40"/>
      <c r="AE339" s="40"/>
    </row>
    <row r="340" spans="4:31" ht="13.5" customHeight="1"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Y340" s="40"/>
      <c r="Z340" s="40"/>
      <c r="AA340" s="40"/>
      <c r="AB340" s="40"/>
      <c r="AC340" s="40"/>
      <c r="AD340" s="40"/>
      <c r="AE340" s="40"/>
    </row>
    <row r="341" spans="4:31" ht="13.5" customHeight="1"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Y341" s="40"/>
      <c r="Z341" s="40"/>
      <c r="AA341" s="40"/>
      <c r="AB341" s="40"/>
      <c r="AC341" s="40"/>
      <c r="AD341" s="40"/>
      <c r="AE341" s="40"/>
    </row>
    <row r="342" spans="4:31" ht="13.5" customHeight="1"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Y342" s="40"/>
      <c r="Z342" s="40"/>
      <c r="AA342" s="40"/>
      <c r="AB342" s="40"/>
      <c r="AC342" s="40"/>
      <c r="AD342" s="40"/>
      <c r="AE342" s="40"/>
    </row>
    <row r="343" spans="4:31" ht="13.5" customHeight="1"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Y343" s="40"/>
      <c r="Z343" s="40"/>
      <c r="AA343" s="40"/>
      <c r="AB343" s="40"/>
      <c r="AC343" s="40"/>
      <c r="AD343" s="40"/>
      <c r="AE343" s="40"/>
    </row>
    <row r="344" spans="4:31" ht="13.5" customHeight="1"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Y344" s="40"/>
      <c r="Z344" s="40"/>
      <c r="AA344" s="40"/>
      <c r="AB344" s="40"/>
      <c r="AC344" s="40"/>
      <c r="AD344" s="40"/>
      <c r="AE344" s="40"/>
    </row>
    <row r="345" spans="4:31" ht="13.5" customHeight="1"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Y345" s="40"/>
      <c r="Z345" s="40"/>
      <c r="AA345" s="40"/>
      <c r="AB345" s="40"/>
      <c r="AC345" s="40"/>
      <c r="AD345" s="40"/>
      <c r="AE345" s="40"/>
    </row>
    <row r="346" spans="4:31" ht="13.5" customHeight="1"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Y346" s="40"/>
      <c r="Z346" s="40"/>
      <c r="AA346" s="40"/>
      <c r="AB346" s="40"/>
      <c r="AC346" s="40"/>
      <c r="AD346" s="40"/>
      <c r="AE346" s="40"/>
    </row>
    <row r="347" spans="4:31" ht="13.5" customHeight="1"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Y347" s="40"/>
      <c r="Z347" s="40"/>
      <c r="AA347" s="40"/>
      <c r="AB347" s="40"/>
      <c r="AC347" s="40"/>
      <c r="AD347" s="40"/>
      <c r="AE347" s="40"/>
    </row>
    <row r="348" spans="4:31" ht="13.5" customHeight="1"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Y348" s="40"/>
      <c r="Z348" s="40"/>
      <c r="AA348" s="40"/>
      <c r="AB348" s="40"/>
      <c r="AC348" s="40"/>
      <c r="AD348" s="40"/>
      <c r="AE348" s="40"/>
    </row>
    <row r="349" spans="4:31" ht="13.5" customHeight="1"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Y349" s="40"/>
      <c r="Z349" s="40"/>
      <c r="AA349" s="40"/>
      <c r="AB349" s="40"/>
      <c r="AC349" s="40"/>
      <c r="AD349" s="40"/>
      <c r="AE349" s="40"/>
    </row>
    <row r="350" spans="4:31" ht="13.5" customHeight="1"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Y350" s="40"/>
      <c r="Z350" s="40"/>
      <c r="AA350" s="40"/>
      <c r="AB350" s="40"/>
      <c r="AC350" s="40"/>
      <c r="AD350" s="40"/>
      <c r="AE350" s="40"/>
    </row>
    <row r="351" spans="4:31" ht="13.5" customHeight="1"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Y351" s="40"/>
      <c r="Z351" s="40"/>
      <c r="AA351" s="40"/>
      <c r="AB351" s="40"/>
      <c r="AC351" s="40"/>
      <c r="AD351" s="40"/>
      <c r="AE351" s="40"/>
    </row>
    <row r="352" spans="4:31" ht="13.5" customHeight="1"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Y352" s="40"/>
      <c r="Z352" s="40"/>
      <c r="AA352" s="40"/>
      <c r="AB352" s="40"/>
      <c r="AC352" s="40"/>
      <c r="AD352" s="40"/>
      <c r="AE352" s="40"/>
    </row>
    <row r="353" spans="4:31" ht="13.5" customHeight="1"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Y353" s="40"/>
      <c r="Z353" s="40"/>
      <c r="AA353" s="40"/>
      <c r="AB353" s="40"/>
      <c r="AC353" s="40"/>
      <c r="AD353" s="40"/>
      <c r="AE353" s="40"/>
    </row>
    <row r="354" spans="4:31" ht="13.5" customHeight="1"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Y354" s="40"/>
      <c r="Z354" s="40"/>
      <c r="AA354" s="40"/>
      <c r="AB354" s="40"/>
      <c r="AC354" s="40"/>
      <c r="AD354" s="40"/>
      <c r="AE354" s="40"/>
    </row>
    <row r="355" spans="4:31" ht="13.5" customHeight="1"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Y355" s="40"/>
      <c r="Z355" s="40"/>
      <c r="AA355" s="40"/>
      <c r="AB355" s="40"/>
      <c r="AC355" s="40"/>
      <c r="AD355" s="40"/>
      <c r="AE355" s="40"/>
    </row>
    <row r="356" spans="4:31" ht="13.5" customHeight="1"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Y356" s="40"/>
      <c r="Z356" s="40"/>
      <c r="AA356" s="40"/>
      <c r="AB356" s="40"/>
      <c r="AC356" s="40"/>
      <c r="AD356" s="40"/>
      <c r="AE356" s="40"/>
    </row>
    <row r="357" spans="4:31" ht="13.5" customHeight="1"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Y357" s="40"/>
      <c r="Z357" s="40"/>
      <c r="AA357" s="40"/>
      <c r="AB357" s="40"/>
      <c r="AC357" s="40"/>
      <c r="AD357" s="40"/>
      <c r="AE357" s="40"/>
    </row>
    <row r="358" spans="4:31" ht="13.5" customHeight="1"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Y358" s="40"/>
      <c r="Z358" s="40"/>
      <c r="AA358" s="40"/>
      <c r="AB358" s="40"/>
      <c r="AC358" s="40"/>
      <c r="AD358" s="40"/>
      <c r="AE358" s="40"/>
    </row>
    <row r="359" spans="4:31" ht="13.5" customHeight="1"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Y359" s="40"/>
      <c r="Z359" s="40"/>
      <c r="AA359" s="40"/>
      <c r="AB359" s="40"/>
      <c r="AC359" s="40"/>
      <c r="AD359" s="40"/>
      <c r="AE359" s="40"/>
    </row>
    <row r="360" spans="4:31" ht="13.5" customHeight="1"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Y360" s="40"/>
      <c r="Z360" s="40"/>
      <c r="AA360" s="40"/>
      <c r="AB360" s="40"/>
      <c r="AC360" s="40"/>
      <c r="AD360" s="40"/>
      <c r="AE360" s="40"/>
    </row>
    <row r="361" spans="4:31" ht="13.5" customHeight="1"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Y361" s="40"/>
      <c r="Z361" s="40"/>
      <c r="AA361" s="40"/>
      <c r="AB361" s="40"/>
      <c r="AC361" s="40"/>
      <c r="AD361" s="40"/>
      <c r="AE361" s="40"/>
    </row>
    <row r="362" spans="4:31" ht="13.5" customHeight="1"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Y362" s="40"/>
      <c r="Z362" s="40"/>
      <c r="AA362" s="40"/>
      <c r="AB362" s="40"/>
      <c r="AC362" s="40"/>
      <c r="AD362" s="40"/>
      <c r="AE362" s="40"/>
    </row>
    <row r="363" spans="4:31" ht="13.5" customHeight="1"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Y363" s="40"/>
      <c r="Z363" s="40"/>
      <c r="AA363" s="40"/>
      <c r="AB363" s="40"/>
      <c r="AC363" s="40"/>
      <c r="AD363" s="40"/>
      <c r="AE363" s="40"/>
    </row>
    <row r="364" spans="4:31" ht="13.5" customHeight="1"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Y364" s="40"/>
      <c r="Z364" s="40"/>
      <c r="AA364" s="40"/>
      <c r="AB364" s="40"/>
      <c r="AC364" s="40"/>
      <c r="AD364" s="40"/>
      <c r="AE364" s="40"/>
    </row>
    <row r="365" spans="4:31" ht="13.5" customHeight="1"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Y365" s="40"/>
      <c r="Z365" s="40"/>
      <c r="AA365" s="40"/>
      <c r="AB365" s="40"/>
      <c r="AC365" s="40"/>
      <c r="AD365" s="40"/>
      <c r="AE365" s="40"/>
    </row>
    <row r="366" spans="4:31" ht="13.5" customHeight="1"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Y366" s="40"/>
      <c r="Z366" s="40"/>
      <c r="AA366" s="40"/>
      <c r="AB366" s="40"/>
      <c r="AC366" s="40"/>
      <c r="AD366" s="40"/>
      <c r="AE366" s="40"/>
    </row>
    <row r="367" spans="4:31" ht="13.5" customHeight="1"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Y367" s="40"/>
      <c r="Z367" s="40"/>
      <c r="AA367" s="40"/>
      <c r="AB367" s="40"/>
      <c r="AC367" s="40"/>
      <c r="AD367" s="40"/>
      <c r="AE367" s="40"/>
    </row>
    <row r="368" spans="4:31" ht="13.5" customHeight="1"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Y368" s="40"/>
      <c r="Z368" s="40"/>
      <c r="AA368" s="40"/>
      <c r="AB368" s="40"/>
      <c r="AC368" s="40"/>
      <c r="AD368" s="40"/>
      <c r="AE368" s="40"/>
    </row>
    <row r="369" spans="4:31" ht="13.5" customHeight="1"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Y369" s="40"/>
      <c r="Z369" s="40"/>
      <c r="AA369" s="40"/>
      <c r="AB369" s="40"/>
      <c r="AC369" s="40"/>
      <c r="AD369" s="40"/>
      <c r="AE369" s="40"/>
    </row>
    <row r="370" spans="4:31" ht="13.5" customHeight="1"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Y370" s="40"/>
      <c r="Z370" s="40"/>
      <c r="AA370" s="40"/>
      <c r="AB370" s="40"/>
      <c r="AC370" s="40"/>
      <c r="AD370" s="40"/>
      <c r="AE370" s="40"/>
    </row>
    <row r="371" spans="4:31" ht="13.5" customHeight="1"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Y371" s="40"/>
      <c r="Z371" s="40"/>
      <c r="AA371" s="40"/>
      <c r="AB371" s="40"/>
      <c r="AC371" s="40"/>
      <c r="AD371" s="40"/>
      <c r="AE371" s="40"/>
    </row>
    <row r="372" spans="4:31" ht="13.5" customHeight="1"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Y372" s="40"/>
      <c r="Z372" s="40"/>
      <c r="AA372" s="40"/>
      <c r="AB372" s="40"/>
      <c r="AC372" s="40"/>
      <c r="AD372" s="40"/>
      <c r="AE372" s="40"/>
    </row>
    <row r="373" spans="4:31" ht="13.5" customHeight="1"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Y373" s="40"/>
      <c r="Z373" s="40"/>
      <c r="AA373" s="40"/>
      <c r="AB373" s="40"/>
      <c r="AC373" s="40"/>
      <c r="AD373" s="40"/>
      <c r="AE373" s="40"/>
    </row>
    <row r="374" spans="4:31" ht="13.5" customHeight="1"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Y374" s="40"/>
      <c r="Z374" s="40"/>
      <c r="AA374" s="40"/>
      <c r="AB374" s="40"/>
      <c r="AC374" s="40"/>
      <c r="AD374" s="40"/>
      <c r="AE374" s="40"/>
    </row>
    <row r="375" spans="4:31" ht="13.5" customHeight="1"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Y375" s="40"/>
      <c r="Z375" s="40"/>
      <c r="AA375" s="40"/>
      <c r="AB375" s="40"/>
      <c r="AC375" s="40"/>
      <c r="AD375" s="40"/>
      <c r="AE375" s="40"/>
    </row>
    <row r="376" spans="4:31" ht="13.5" customHeight="1"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Y376" s="40"/>
      <c r="Z376" s="40"/>
      <c r="AA376" s="40"/>
      <c r="AB376" s="40"/>
      <c r="AC376" s="40"/>
      <c r="AD376" s="40"/>
      <c r="AE376" s="40"/>
    </row>
    <row r="377" spans="4:31" ht="13.5" customHeight="1"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Y377" s="40"/>
      <c r="Z377" s="40"/>
      <c r="AA377" s="40"/>
      <c r="AB377" s="40"/>
      <c r="AC377" s="40"/>
      <c r="AD377" s="40"/>
      <c r="AE377" s="40"/>
    </row>
    <row r="378" spans="4:31" ht="13.5" customHeight="1"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Y378" s="40"/>
      <c r="Z378" s="40"/>
      <c r="AA378" s="40"/>
      <c r="AB378" s="40"/>
      <c r="AC378" s="40"/>
      <c r="AD378" s="40"/>
      <c r="AE378" s="40"/>
    </row>
    <row r="379" spans="4:31" ht="13.5" customHeight="1"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Y379" s="40"/>
      <c r="Z379" s="40"/>
      <c r="AA379" s="40"/>
      <c r="AB379" s="40"/>
      <c r="AC379" s="40"/>
      <c r="AD379" s="40"/>
      <c r="AE379" s="40"/>
    </row>
    <row r="380" spans="4:31" ht="13.5" customHeight="1"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Y380" s="40"/>
      <c r="Z380" s="40"/>
      <c r="AA380" s="40"/>
      <c r="AB380" s="40"/>
      <c r="AC380" s="40"/>
      <c r="AD380" s="40"/>
      <c r="AE380" s="40"/>
    </row>
    <row r="381" spans="4:31" ht="13.5" customHeight="1"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Y381" s="40"/>
      <c r="Z381" s="40"/>
      <c r="AA381" s="40"/>
      <c r="AB381" s="40"/>
      <c r="AC381" s="40"/>
      <c r="AD381" s="40"/>
      <c r="AE381" s="40"/>
    </row>
    <row r="382" spans="4:31" ht="13.5" customHeight="1"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Y382" s="40"/>
      <c r="Z382" s="40"/>
      <c r="AA382" s="40"/>
      <c r="AB382" s="40"/>
      <c r="AC382" s="40"/>
      <c r="AD382" s="40"/>
      <c r="AE382" s="40"/>
    </row>
    <row r="383" spans="4:31" ht="13.5" customHeight="1"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Y383" s="40"/>
      <c r="Z383" s="40"/>
      <c r="AA383" s="40"/>
      <c r="AB383" s="40"/>
      <c r="AC383" s="40"/>
      <c r="AD383" s="40"/>
      <c r="AE383" s="40"/>
    </row>
    <row r="384" spans="4:31" ht="13.5" customHeight="1"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Y384" s="40"/>
      <c r="Z384" s="40"/>
      <c r="AA384" s="40"/>
      <c r="AB384" s="40"/>
      <c r="AC384" s="40"/>
      <c r="AD384" s="40"/>
      <c r="AE384" s="40"/>
    </row>
    <row r="385" spans="4:31" ht="13.5" customHeight="1"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Y385" s="40"/>
      <c r="Z385" s="40"/>
      <c r="AA385" s="40"/>
      <c r="AB385" s="40"/>
      <c r="AC385" s="40"/>
      <c r="AD385" s="40"/>
      <c r="AE385" s="40"/>
    </row>
    <row r="386" spans="4:31" ht="13.5" customHeight="1"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Y386" s="40"/>
      <c r="Z386" s="40"/>
      <c r="AA386" s="40"/>
      <c r="AB386" s="40"/>
      <c r="AC386" s="40"/>
      <c r="AD386" s="40"/>
      <c r="AE386" s="40"/>
    </row>
    <row r="387" spans="4:31" ht="13.5" customHeight="1"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Y387" s="40"/>
      <c r="Z387" s="40"/>
      <c r="AA387" s="40"/>
      <c r="AB387" s="40"/>
      <c r="AC387" s="40"/>
      <c r="AD387" s="40"/>
      <c r="AE387" s="40"/>
    </row>
    <row r="388" spans="4:31" ht="13.5" customHeight="1"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Y388" s="40"/>
      <c r="Z388" s="40"/>
      <c r="AA388" s="40"/>
      <c r="AB388" s="40"/>
      <c r="AC388" s="40"/>
      <c r="AD388" s="40"/>
      <c r="AE388" s="40"/>
    </row>
    <row r="389" spans="4:31" ht="13.5" customHeight="1"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Y389" s="40"/>
      <c r="Z389" s="40"/>
      <c r="AA389" s="40"/>
      <c r="AB389" s="40"/>
      <c r="AC389" s="40"/>
      <c r="AD389" s="40"/>
      <c r="AE389" s="40"/>
    </row>
    <row r="390" spans="4:31" ht="13.5" customHeight="1"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Y390" s="40"/>
      <c r="Z390" s="40"/>
      <c r="AA390" s="40"/>
      <c r="AB390" s="40"/>
      <c r="AC390" s="40"/>
      <c r="AD390" s="40"/>
      <c r="AE390" s="40"/>
    </row>
    <row r="391" spans="4:31" ht="13.5" customHeight="1"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Y391" s="40"/>
      <c r="Z391" s="40"/>
      <c r="AA391" s="40"/>
      <c r="AB391" s="40"/>
      <c r="AC391" s="40"/>
      <c r="AD391" s="40"/>
      <c r="AE391" s="40"/>
    </row>
    <row r="392" spans="4:31" ht="13.5" customHeight="1"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Y392" s="40"/>
      <c r="Z392" s="40"/>
      <c r="AA392" s="40"/>
      <c r="AB392" s="40"/>
      <c r="AC392" s="40"/>
      <c r="AD392" s="40"/>
      <c r="AE392" s="40"/>
    </row>
    <row r="393" spans="4:31" ht="13.5" customHeight="1"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Y393" s="40"/>
      <c r="Z393" s="40"/>
      <c r="AA393" s="40"/>
      <c r="AB393" s="40"/>
      <c r="AC393" s="40"/>
      <c r="AD393" s="40"/>
      <c r="AE393" s="40"/>
    </row>
    <row r="394" spans="4:31" ht="13.5" customHeight="1"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Y394" s="40"/>
      <c r="Z394" s="40"/>
      <c r="AA394" s="40"/>
      <c r="AB394" s="40"/>
      <c r="AC394" s="40"/>
      <c r="AD394" s="40"/>
      <c r="AE394" s="40"/>
    </row>
    <row r="395" spans="4:31" ht="13.5" customHeight="1"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Y395" s="40"/>
      <c r="Z395" s="40"/>
      <c r="AA395" s="40"/>
      <c r="AB395" s="40"/>
      <c r="AC395" s="40"/>
      <c r="AD395" s="40"/>
      <c r="AE395" s="40"/>
    </row>
    <row r="396" spans="4:31" ht="13.5" customHeight="1"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Y396" s="40"/>
      <c r="Z396" s="40"/>
      <c r="AA396" s="40"/>
      <c r="AB396" s="40"/>
      <c r="AC396" s="40"/>
      <c r="AD396" s="40"/>
      <c r="AE396" s="40"/>
    </row>
    <row r="397" spans="4:31" ht="13.5" customHeight="1"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Y397" s="40"/>
      <c r="Z397" s="40"/>
      <c r="AA397" s="40"/>
      <c r="AB397" s="40"/>
      <c r="AC397" s="40"/>
      <c r="AD397" s="40"/>
      <c r="AE397" s="40"/>
    </row>
    <row r="398" spans="4:31" ht="13.5" customHeight="1"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Y398" s="40"/>
      <c r="Z398" s="40"/>
      <c r="AA398" s="40"/>
      <c r="AB398" s="40"/>
      <c r="AC398" s="40"/>
      <c r="AD398" s="40"/>
      <c r="AE398" s="40"/>
    </row>
    <row r="399" spans="4:31" ht="13.5" customHeight="1"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Y399" s="40"/>
      <c r="Z399" s="40"/>
      <c r="AA399" s="40"/>
      <c r="AB399" s="40"/>
      <c r="AC399" s="40"/>
      <c r="AD399" s="40"/>
      <c r="AE399" s="40"/>
    </row>
    <row r="400" spans="4:31" ht="13.5" customHeight="1"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Y400" s="40"/>
      <c r="Z400" s="40"/>
      <c r="AA400" s="40"/>
      <c r="AB400" s="40"/>
      <c r="AC400" s="40"/>
      <c r="AD400" s="40"/>
      <c r="AE400" s="40"/>
    </row>
    <row r="401" spans="4:31" ht="13.5" customHeight="1"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Y401" s="40"/>
      <c r="Z401" s="40"/>
      <c r="AA401" s="40"/>
      <c r="AB401" s="40"/>
      <c r="AC401" s="40"/>
      <c r="AD401" s="40"/>
      <c r="AE401" s="40"/>
    </row>
    <row r="402" spans="4:31" ht="13.5" customHeight="1"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Y402" s="40"/>
      <c r="Z402" s="40"/>
      <c r="AA402" s="40"/>
      <c r="AB402" s="40"/>
      <c r="AC402" s="40"/>
      <c r="AD402" s="40"/>
      <c r="AE402" s="40"/>
    </row>
    <row r="403" spans="4:31" ht="13.5" customHeight="1"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Y403" s="40"/>
      <c r="Z403" s="40"/>
      <c r="AA403" s="40"/>
      <c r="AB403" s="40"/>
      <c r="AC403" s="40"/>
      <c r="AD403" s="40"/>
      <c r="AE403" s="40"/>
    </row>
    <row r="404" spans="4:31" ht="13.5" customHeight="1"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Y404" s="40"/>
      <c r="Z404" s="40"/>
      <c r="AA404" s="40"/>
      <c r="AB404" s="40"/>
      <c r="AC404" s="40"/>
      <c r="AD404" s="40"/>
      <c r="AE404" s="40"/>
    </row>
    <row r="405" spans="4:31" ht="13.5" customHeight="1"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Y405" s="40"/>
      <c r="Z405" s="40"/>
      <c r="AA405" s="40"/>
      <c r="AB405" s="40"/>
      <c r="AC405" s="40"/>
      <c r="AD405" s="40"/>
      <c r="AE405" s="40"/>
    </row>
    <row r="406" spans="4:31" ht="13.5" customHeight="1"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Y406" s="40"/>
      <c r="Z406" s="40"/>
      <c r="AA406" s="40"/>
      <c r="AB406" s="40"/>
      <c r="AC406" s="40"/>
      <c r="AD406" s="40"/>
      <c r="AE406" s="40"/>
    </row>
    <row r="407" spans="4:31" ht="13.5" customHeight="1"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Y407" s="40"/>
      <c r="Z407" s="40"/>
      <c r="AA407" s="40"/>
      <c r="AB407" s="40"/>
      <c r="AC407" s="40"/>
      <c r="AD407" s="40"/>
      <c r="AE407" s="40"/>
    </row>
    <row r="408" spans="4:31" ht="13.5" customHeight="1"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Y408" s="40"/>
      <c r="Z408" s="40"/>
      <c r="AA408" s="40"/>
      <c r="AB408" s="40"/>
      <c r="AC408" s="40"/>
      <c r="AD408" s="40"/>
      <c r="AE408" s="40"/>
    </row>
    <row r="409" spans="4:31" ht="13.5" customHeight="1"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Y409" s="40"/>
      <c r="Z409" s="40"/>
      <c r="AA409" s="40"/>
      <c r="AB409" s="40"/>
      <c r="AC409" s="40"/>
      <c r="AD409" s="40"/>
      <c r="AE409" s="40"/>
    </row>
    <row r="410" spans="4:31" ht="13.5" customHeight="1"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Y410" s="40"/>
      <c r="Z410" s="40"/>
      <c r="AA410" s="40"/>
      <c r="AB410" s="40"/>
      <c r="AC410" s="40"/>
      <c r="AD410" s="40"/>
      <c r="AE410" s="40"/>
    </row>
    <row r="411" spans="4:31" ht="13.5" customHeight="1"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Y411" s="40"/>
      <c r="Z411" s="40"/>
      <c r="AA411" s="40"/>
      <c r="AB411" s="40"/>
      <c r="AC411" s="40"/>
      <c r="AD411" s="40"/>
      <c r="AE411" s="40"/>
    </row>
    <row r="412" spans="4:31" ht="13.5" customHeight="1"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Y412" s="40"/>
      <c r="Z412" s="40"/>
      <c r="AA412" s="40"/>
      <c r="AB412" s="40"/>
      <c r="AC412" s="40"/>
      <c r="AD412" s="40"/>
      <c r="AE412" s="40"/>
    </row>
    <row r="413" spans="4:31" ht="13.5" customHeight="1"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Y413" s="40"/>
      <c r="Z413" s="40"/>
      <c r="AA413" s="40"/>
      <c r="AB413" s="40"/>
      <c r="AC413" s="40"/>
      <c r="AD413" s="40"/>
      <c r="AE413" s="40"/>
    </row>
    <row r="414" spans="4:31" ht="13.5" customHeight="1"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Y414" s="40"/>
      <c r="Z414" s="40"/>
      <c r="AA414" s="40"/>
      <c r="AB414" s="40"/>
      <c r="AC414" s="40"/>
      <c r="AD414" s="40"/>
      <c r="AE414" s="40"/>
    </row>
    <row r="415" spans="4:31" ht="13.5" customHeight="1"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Y415" s="40"/>
      <c r="Z415" s="40"/>
      <c r="AA415" s="40"/>
      <c r="AB415" s="40"/>
      <c r="AC415" s="40"/>
      <c r="AD415" s="40"/>
      <c r="AE415" s="40"/>
    </row>
    <row r="416" spans="4:31" ht="13.5" customHeight="1"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Y416" s="40"/>
      <c r="Z416" s="40"/>
      <c r="AA416" s="40"/>
      <c r="AB416" s="40"/>
      <c r="AC416" s="40"/>
      <c r="AD416" s="40"/>
      <c r="AE416" s="40"/>
    </row>
    <row r="417" spans="4:31" ht="13.5" customHeight="1"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Y417" s="40"/>
      <c r="Z417" s="40"/>
      <c r="AA417" s="40"/>
      <c r="AB417" s="40"/>
      <c r="AC417" s="40"/>
      <c r="AD417" s="40"/>
      <c r="AE417" s="40"/>
    </row>
    <row r="418" spans="4:31" ht="13.5" customHeight="1"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Y418" s="40"/>
      <c r="Z418" s="40"/>
      <c r="AA418" s="40"/>
      <c r="AB418" s="40"/>
      <c r="AC418" s="40"/>
      <c r="AD418" s="40"/>
      <c r="AE418" s="40"/>
    </row>
    <row r="419" spans="4:31" ht="13.5" customHeight="1"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Y419" s="40"/>
      <c r="Z419" s="40"/>
      <c r="AA419" s="40"/>
      <c r="AB419" s="40"/>
      <c r="AC419" s="40"/>
      <c r="AD419" s="40"/>
      <c r="AE419" s="40"/>
    </row>
    <row r="420" spans="4:31" ht="13.5" customHeight="1"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Y420" s="40"/>
      <c r="Z420" s="40"/>
      <c r="AA420" s="40"/>
      <c r="AB420" s="40"/>
      <c r="AC420" s="40"/>
      <c r="AD420" s="40"/>
      <c r="AE420" s="40"/>
    </row>
    <row r="421" spans="4:31" ht="13.5" customHeight="1"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Y421" s="40"/>
      <c r="Z421" s="40"/>
      <c r="AA421" s="40"/>
      <c r="AB421" s="40"/>
      <c r="AC421" s="40"/>
      <c r="AD421" s="40"/>
      <c r="AE421" s="40"/>
    </row>
    <row r="422" spans="4:31" ht="13.5" customHeight="1"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Y422" s="40"/>
      <c r="Z422" s="40"/>
      <c r="AA422" s="40"/>
      <c r="AB422" s="40"/>
      <c r="AC422" s="40"/>
      <c r="AD422" s="40"/>
      <c r="AE422" s="40"/>
    </row>
    <row r="423" spans="4:31" ht="13.5" customHeight="1"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Y423" s="40"/>
      <c r="Z423" s="40"/>
      <c r="AA423" s="40"/>
      <c r="AB423" s="40"/>
      <c r="AC423" s="40"/>
      <c r="AD423" s="40"/>
      <c r="AE423" s="40"/>
    </row>
    <row r="424" spans="4:31" ht="13.5" customHeight="1"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Y424" s="40"/>
      <c r="Z424" s="40"/>
      <c r="AA424" s="40"/>
      <c r="AB424" s="40"/>
      <c r="AC424" s="40"/>
      <c r="AD424" s="40"/>
      <c r="AE424" s="40"/>
    </row>
    <row r="425" spans="4:31" ht="13.5" customHeight="1"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Y425" s="40"/>
      <c r="Z425" s="40"/>
      <c r="AA425" s="40"/>
      <c r="AB425" s="40"/>
      <c r="AC425" s="40"/>
      <c r="AD425" s="40"/>
      <c r="AE425" s="40"/>
    </row>
    <row r="426" spans="4:31" ht="13.5" customHeight="1"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Y426" s="40"/>
      <c r="Z426" s="40"/>
      <c r="AA426" s="40"/>
      <c r="AB426" s="40"/>
      <c r="AC426" s="40"/>
      <c r="AD426" s="40"/>
      <c r="AE426" s="40"/>
    </row>
    <row r="427" spans="4:31" ht="13.5" customHeight="1"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Y427" s="40"/>
      <c r="Z427" s="40"/>
      <c r="AA427" s="40"/>
      <c r="AB427" s="40"/>
      <c r="AC427" s="40"/>
      <c r="AD427" s="40"/>
      <c r="AE427" s="40"/>
    </row>
    <row r="428" spans="4:31" ht="13.5" customHeight="1"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Y428" s="40"/>
      <c r="Z428" s="40"/>
      <c r="AA428" s="40"/>
      <c r="AB428" s="40"/>
      <c r="AC428" s="40"/>
      <c r="AD428" s="40"/>
      <c r="AE428" s="40"/>
    </row>
    <row r="429" spans="4:31" ht="13.5" customHeight="1"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Y429" s="40"/>
      <c r="Z429" s="40"/>
      <c r="AA429" s="40"/>
      <c r="AB429" s="40"/>
      <c r="AC429" s="40"/>
      <c r="AD429" s="40"/>
      <c r="AE429" s="40"/>
    </row>
    <row r="430" spans="4:31" ht="13.5" customHeight="1"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Y430" s="40"/>
      <c r="Z430" s="40"/>
      <c r="AA430" s="40"/>
      <c r="AB430" s="40"/>
      <c r="AC430" s="40"/>
      <c r="AD430" s="40"/>
      <c r="AE430" s="40"/>
    </row>
    <row r="431" spans="4:31" ht="13.5" customHeight="1"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Y431" s="40"/>
      <c r="Z431" s="40"/>
      <c r="AA431" s="40"/>
      <c r="AB431" s="40"/>
      <c r="AC431" s="40"/>
      <c r="AD431" s="40"/>
      <c r="AE431" s="40"/>
    </row>
    <row r="432" spans="4:31" ht="13.5" customHeight="1"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Y432" s="40"/>
      <c r="Z432" s="40"/>
      <c r="AA432" s="40"/>
      <c r="AB432" s="40"/>
      <c r="AC432" s="40"/>
      <c r="AD432" s="40"/>
      <c r="AE432" s="40"/>
    </row>
    <row r="433" spans="4:31" ht="13.5" customHeight="1"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Y433" s="40"/>
      <c r="Z433" s="40"/>
      <c r="AA433" s="40"/>
      <c r="AB433" s="40"/>
      <c r="AC433" s="40"/>
      <c r="AD433" s="40"/>
      <c r="AE433" s="40"/>
    </row>
    <row r="434" spans="4:31" ht="13.5" customHeight="1"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Y434" s="40"/>
      <c r="Z434" s="40"/>
      <c r="AA434" s="40"/>
      <c r="AB434" s="40"/>
      <c r="AC434" s="40"/>
      <c r="AD434" s="40"/>
      <c r="AE434" s="40"/>
    </row>
    <row r="435" spans="4:31" ht="13.5" customHeight="1"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Y435" s="40"/>
      <c r="Z435" s="40"/>
      <c r="AA435" s="40"/>
      <c r="AB435" s="40"/>
      <c r="AC435" s="40"/>
      <c r="AD435" s="40"/>
      <c r="AE435" s="40"/>
    </row>
    <row r="436" spans="4:31" ht="13.5" customHeight="1"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Y436" s="40"/>
      <c r="Z436" s="40"/>
      <c r="AA436" s="40"/>
      <c r="AB436" s="40"/>
      <c r="AC436" s="40"/>
      <c r="AD436" s="40"/>
      <c r="AE436" s="40"/>
    </row>
    <row r="437" spans="4:31" ht="13.5" customHeight="1"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Y437" s="40"/>
      <c r="Z437" s="40"/>
      <c r="AA437" s="40"/>
      <c r="AB437" s="40"/>
      <c r="AC437" s="40"/>
      <c r="AD437" s="40"/>
      <c r="AE437" s="40"/>
    </row>
    <row r="438" spans="4:31" ht="13.5" customHeight="1"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Y438" s="40"/>
      <c r="Z438" s="40"/>
      <c r="AA438" s="40"/>
      <c r="AB438" s="40"/>
      <c r="AC438" s="40"/>
      <c r="AD438" s="40"/>
      <c r="AE438" s="40"/>
    </row>
    <row r="439" spans="4:31" ht="13.5" customHeight="1"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Y439" s="40"/>
      <c r="Z439" s="40"/>
      <c r="AA439" s="40"/>
      <c r="AB439" s="40"/>
      <c r="AC439" s="40"/>
      <c r="AD439" s="40"/>
      <c r="AE439" s="40"/>
    </row>
    <row r="440" spans="4:31" ht="13.5" customHeight="1"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Y440" s="40"/>
      <c r="Z440" s="40"/>
      <c r="AA440" s="40"/>
      <c r="AB440" s="40"/>
      <c r="AC440" s="40"/>
      <c r="AD440" s="40"/>
      <c r="AE440" s="40"/>
    </row>
    <row r="441" spans="4:31" ht="13.5" customHeight="1"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Y441" s="40"/>
      <c r="Z441" s="40"/>
      <c r="AA441" s="40"/>
      <c r="AB441" s="40"/>
      <c r="AC441" s="40"/>
      <c r="AD441" s="40"/>
      <c r="AE441" s="40"/>
    </row>
    <row r="442" spans="4:31" ht="13.5" customHeight="1"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Y442" s="40"/>
      <c r="Z442" s="40"/>
      <c r="AA442" s="40"/>
      <c r="AB442" s="40"/>
      <c r="AC442" s="40"/>
      <c r="AD442" s="40"/>
      <c r="AE442" s="40"/>
    </row>
    <row r="443" spans="4:31" ht="13.5" customHeight="1"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Y443" s="40"/>
      <c r="Z443" s="40"/>
      <c r="AA443" s="40"/>
      <c r="AB443" s="40"/>
      <c r="AC443" s="40"/>
      <c r="AD443" s="40"/>
      <c r="AE443" s="40"/>
    </row>
    <row r="444" spans="4:31" ht="13.5" customHeight="1"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Y444" s="40"/>
      <c r="Z444" s="40"/>
      <c r="AA444" s="40"/>
      <c r="AB444" s="40"/>
      <c r="AC444" s="40"/>
      <c r="AD444" s="40"/>
      <c r="AE444" s="40"/>
    </row>
    <row r="445" spans="4:31" ht="13.5" customHeight="1"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Y445" s="40"/>
      <c r="Z445" s="40"/>
      <c r="AA445" s="40"/>
      <c r="AB445" s="40"/>
      <c r="AC445" s="40"/>
      <c r="AD445" s="40"/>
      <c r="AE445" s="40"/>
    </row>
    <row r="446" spans="4:31" ht="13.5" customHeight="1"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Y446" s="40"/>
      <c r="Z446" s="40"/>
      <c r="AA446" s="40"/>
      <c r="AB446" s="40"/>
      <c r="AC446" s="40"/>
      <c r="AD446" s="40"/>
      <c r="AE446" s="40"/>
    </row>
    <row r="447" spans="4:31" ht="13.5" customHeight="1"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Y447" s="40"/>
      <c r="Z447" s="40"/>
      <c r="AA447" s="40"/>
      <c r="AB447" s="40"/>
      <c r="AC447" s="40"/>
      <c r="AD447" s="40"/>
      <c r="AE447" s="40"/>
    </row>
    <row r="448" spans="4:31" ht="13.5" customHeight="1"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Y448" s="40"/>
      <c r="Z448" s="40"/>
      <c r="AA448" s="40"/>
      <c r="AB448" s="40"/>
      <c r="AC448" s="40"/>
      <c r="AD448" s="40"/>
      <c r="AE448" s="40"/>
    </row>
    <row r="449" spans="4:31" ht="13.5" customHeight="1"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Y449" s="40"/>
      <c r="Z449" s="40"/>
      <c r="AA449" s="40"/>
      <c r="AB449" s="40"/>
      <c r="AC449" s="40"/>
      <c r="AD449" s="40"/>
      <c r="AE449" s="40"/>
    </row>
    <row r="450" spans="4:31" ht="13.5" customHeight="1"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Y450" s="40"/>
      <c r="Z450" s="40"/>
      <c r="AA450" s="40"/>
      <c r="AB450" s="40"/>
      <c r="AC450" s="40"/>
      <c r="AD450" s="40"/>
      <c r="AE450" s="40"/>
    </row>
    <row r="451" spans="4:31" ht="13.5" customHeight="1"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Y451" s="40"/>
      <c r="Z451" s="40"/>
      <c r="AA451" s="40"/>
      <c r="AB451" s="40"/>
      <c r="AC451" s="40"/>
      <c r="AD451" s="40"/>
      <c r="AE451" s="40"/>
    </row>
    <row r="452" spans="4:31" ht="13.5" customHeight="1"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Y452" s="40"/>
      <c r="Z452" s="40"/>
      <c r="AA452" s="40"/>
      <c r="AB452" s="40"/>
      <c r="AC452" s="40"/>
      <c r="AD452" s="40"/>
      <c r="AE452" s="40"/>
    </row>
    <row r="453" spans="4:31" ht="13.5" customHeight="1"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Y453" s="40"/>
      <c r="Z453" s="40"/>
      <c r="AA453" s="40"/>
      <c r="AB453" s="40"/>
      <c r="AC453" s="40"/>
      <c r="AD453" s="40"/>
      <c r="AE453" s="40"/>
    </row>
    <row r="454" spans="4:31" ht="13.5" customHeight="1"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Y454" s="40"/>
      <c r="Z454" s="40"/>
      <c r="AA454" s="40"/>
      <c r="AB454" s="40"/>
      <c r="AC454" s="40"/>
      <c r="AD454" s="40"/>
      <c r="AE454" s="40"/>
    </row>
    <row r="455" spans="4:31" ht="13.5" customHeight="1"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Y455" s="40"/>
      <c r="Z455" s="40"/>
      <c r="AA455" s="40"/>
      <c r="AB455" s="40"/>
      <c r="AC455" s="40"/>
      <c r="AD455" s="40"/>
      <c r="AE455" s="40"/>
    </row>
    <row r="456" spans="4:31" ht="13.5" customHeight="1"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Y456" s="40"/>
      <c r="Z456" s="40"/>
      <c r="AA456" s="40"/>
      <c r="AB456" s="40"/>
      <c r="AC456" s="40"/>
      <c r="AD456" s="40"/>
      <c r="AE456" s="40"/>
    </row>
    <row r="457" spans="4:31" ht="13.5" customHeight="1"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Y457" s="40"/>
      <c r="Z457" s="40"/>
      <c r="AA457" s="40"/>
      <c r="AB457" s="40"/>
      <c r="AC457" s="40"/>
      <c r="AD457" s="40"/>
      <c r="AE457" s="40"/>
    </row>
    <row r="458" spans="4:31" ht="13.5" customHeight="1"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Y458" s="40"/>
      <c r="Z458" s="40"/>
      <c r="AA458" s="40"/>
      <c r="AB458" s="40"/>
      <c r="AC458" s="40"/>
      <c r="AD458" s="40"/>
      <c r="AE458" s="40"/>
    </row>
    <row r="459" spans="4:31" ht="13.5" customHeight="1"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Y459" s="40"/>
      <c r="Z459" s="40"/>
      <c r="AA459" s="40"/>
      <c r="AB459" s="40"/>
      <c r="AC459" s="40"/>
      <c r="AD459" s="40"/>
      <c r="AE459" s="40"/>
    </row>
    <row r="460" spans="4:31" ht="13.5" customHeight="1"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Y460" s="40"/>
      <c r="Z460" s="40"/>
      <c r="AA460" s="40"/>
      <c r="AB460" s="40"/>
      <c r="AC460" s="40"/>
      <c r="AD460" s="40"/>
      <c r="AE460" s="40"/>
    </row>
    <row r="461" spans="4:31" ht="13.5" customHeight="1"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Y461" s="40"/>
      <c r="Z461" s="40"/>
      <c r="AA461" s="40"/>
      <c r="AB461" s="40"/>
      <c r="AC461" s="40"/>
      <c r="AD461" s="40"/>
      <c r="AE461" s="40"/>
    </row>
    <row r="462" spans="4:31" ht="13.5" customHeight="1"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Y462" s="40"/>
      <c r="Z462" s="40"/>
      <c r="AA462" s="40"/>
      <c r="AB462" s="40"/>
      <c r="AC462" s="40"/>
      <c r="AD462" s="40"/>
      <c r="AE462" s="40"/>
    </row>
    <row r="463" spans="4:31" ht="13.5" customHeight="1"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Y463" s="40"/>
      <c r="Z463" s="40"/>
      <c r="AA463" s="40"/>
      <c r="AB463" s="40"/>
      <c r="AC463" s="40"/>
      <c r="AD463" s="40"/>
      <c r="AE463" s="40"/>
    </row>
    <row r="464" spans="4:31" ht="13.5" customHeight="1"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Y464" s="40"/>
      <c r="Z464" s="40"/>
      <c r="AA464" s="40"/>
      <c r="AB464" s="40"/>
      <c r="AC464" s="40"/>
      <c r="AD464" s="40"/>
      <c r="AE464" s="40"/>
    </row>
    <row r="465" spans="4:31" ht="13.5" customHeight="1"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Y465" s="40"/>
      <c r="Z465" s="40"/>
      <c r="AA465" s="40"/>
      <c r="AB465" s="40"/>
      <c r="AC465" s="40"/>
      <c r="AD465" s="40"/>
      <c r="AE465" s="40"/>
    </row>
    <row r="466" spans="4:31" ht="13.5" customHeight="1"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Y466" s="40"/>
      <c r="Z466" s="40"/>
      <c r="AA466" s="40"/>
      <c r="AB466" s="40"/>
      <c r="AC466" s="40"/>
      <c r="AD466" s="40"/>
      <c r="AE466" s="40"/>
    </row>
    <row r="467" spans="4:31" ht="13.5" customHeight="1"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Y467" s="40"/>
      <c r="Z467" s="40"/>
      <c r="AA467" s="40"/>
      <c r="AB467" s="40"/>
      <c r="AC467" s="40"/>
      <c r="AD467" s="40"/>
      <c r="AE467" s="40"/>
    </row>
    <row r="468" spans="4:31" ht="13.5" customHeight="1"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Y468" s="40"/>
      <c r="Z468" s="40"/>
      <c r="AA468" s="40"/>
      <c r="AB468" s="40"/>
      <c r="AC468" s="40"/>
      <c r="AD468" s="40"/>
      <c r="AE468" s="40"/>
    </row>
    <row r="469" spans="4:31" ht="13.5" customHeight="1"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Y469" s="40"/>
      <c r="Z469" s="40"/>
      <c r="AA469" s="40"/>
      <c r="AB469" s="40"/>
      <c r="AC469" s="40"/>
      <c r="AD469" s="40"/>
      <c r="AE469" s="40"/>
    </row>
    <row r="470" spans="4:31" ht="13.5" customHeight="1"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Y470" s="40"/>
      <c r="Z470" s="40"/>
      <c r="AA470" s="40"/>
      <c r="AB470" s="40"/>
      <c r="AC470" s="40"/>
      <c r="AD470" s="40"/>
      <c r="AE470" s="40"/>
    </row>
    <row r="471" spans="4:31" ht="13.5" customHeight="1"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Y471" s="40"/>
      <c r="Z471" s="40"/>
      <c r="AA471" s="40"/>
      <c r="AB471" s="40"/>
      <c r="AC471" s="40"/>
      <c r="AD471" s="40"/>
      <c r="AE471" s="40"/>
    </row>
    <row r="472" spans="4:31" ht="13.5" customHeight="1"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Y472" s="40"/>
      <c r="Z472" s="40"/>
      <c r="AA472" s="40"/>
      <c r="AB472" s="40"/>
      <c r="AC472" s="40"/>
      <c r="AD472" s="40"/>
      <c r="AE472" s="40"/>
    </row>
    <row r="473" spans="4:31" ht="13.5" customHeight="1"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Y473" s="40"/>
      <c r="Z473" s="40"/>
      <c r="AA473" s="40"/>
      <c r="AB473" s="40"/>
      <c r="AC473" s="40"/>
      <c r="AD473" s="40"/>
      <c r="AE473" s="40"/>
    </row>
    <row r="474" spans="4:31" ht="13.5" customHeight="1"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Y474" s="40"/>
      <c r="Z474" s="40"/>
      <c r="AA474" s="40"/>
      <c r="AB474" s="40"/>
      <c r="AC474" s="40"/>
      <c r="AD474" s="40"/>
      <c r="AE474" s="40"/>
    </row>
    <row r="475" spans="4:31" ht="13.5" customHeight="1"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Y475" s="40"/>
      <c r="Z475" s="40"/>
      <c r="AA475" s="40"/>
      <c r="AB475" s="40"/>
      <c r="AC475" s="40"/>
      <c r="AD475" s="40"/>
      <c r="AE475" s="40"/>
    </row>
    <row r="476" spans="4:31" ht="13.5" customHeight="1"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Y476" s="40"/>
      <c r="Z476" s="40"/>
      <c r="AA476" s="40"/>
      <c r="AB476" s="40"/>
      <c r="AC476" s="40"/>
      <c r="AD476" s="40"/>
      <c r="AE476" s="40"/>
    </row>
    <row r="477" spans="4:31" ht="13.5" customHeight="1"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Y477" s="40"/>
      <c r="Z477" s="40"/>
      <c r="AA477" s="40"/>
      <c r="AB477" s="40"/>
      <c r="AC477" s="40"/>
      <c r="AD477" s="40"/>
      <c r="AE477" s="40"/>
    </row>
    <row r="478" spans="4:31" ht="13.5" customHeight="1"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Y478" s="40"/>
      <c r="Z478" s="40"/>
      <c r="AA478" s="40"/>
      <c r="AB478" s="40"/>
      <c r="AC478" s="40"/>
      <c r="AD478" s="40"/>
      <c r="AE478" s="40"/>
    </row>
    <row r="479" spans="4:31" ht="13.5" customHeight="1"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Y479" s="40"/>
      <c r="Z479" s="40"/>
      <c r="AA479" s="40"/>
      <c r="AB479" s="40"/>
      <c r="AC479" s="40"/>
      <c r="AD479" s="40"/>
      <c r="AE479" s="40"/>
    </row>
    <row r="480" spans="4:31" ht="13.5" customHeight="1"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Y480" s="40"/>
      <c r="Z480" s="40"/>
      <c r="AA480" s="40"/>
      <c r="AB480" s="40"/>
      <c r="AC480" s="40"/>
      <c r="AD480" s="40"/>
      <c r="AE480" s="40"/>
    </row>
    <row r="481" spans="4:31" ht="13.5" customHeight="1"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Y481" s="40"/>
      <c r="Z481" s="40"/>
      <c r="AA481" s="40"/>
      <c r="AB481" s="40"/>
      <c r="AC481" s="40"/>
      <c r="AD481" s="40"/>
      <c r="AE481" s="40"/>
    </row>
    <row r="482" spans="4:31" ht="13.5" customHeight="1"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Y482" s="40"/>
      <c r="Z482" s="40"/>
      <c r="AA482" s="40"/>
      <c r="AB482" s="40"/>
      <c r="AC482" s="40"/>
      <c r="AD482" s="40"/>
      <c r="AE482" s="40"/>
    </row>
    <row r="483" spans="4:31" ht="13.5" customHeight="1"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Y483" s="40"/>
      <c r="Z483" s="40"/>
      <c r="AA483" s="40"/>
      <c r="AB483" s="40"/>
      <c r="AC483" s="40"/>
      <c r="AD483" s="40"/>
      <c r="AE483" s="40"/>
    </row>
    <row r="484" spans="4:31" ht="13.5" customHeight="1"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Y484" s="40"/>
      <c r="Z484" s="40"/>
      <c r="AA484" s="40"/>
      <c r="AB484" s="40"/>
      <c r="AC484" s="40"/>
      <c r="AD484" s="40"/>
      <c r="AE484" s="40"/>
    </row>
    <row r="485" spans="4:31" ht="13.5" customHeight="1"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Y485" s="40"/>
      <c r="Z485" s="40"/>
      <c r="AA485" s="40"/>
      <c r="AB485" s="40"/>
      <c r="AC485" s="40"/>
      <c r="AD485" s="40"/>
      <c r="AE485" s="40"/>
    </row>
    <row r="486" spans="4:31" ht="13.5" customHeight="1"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Y486" s="40"/>
      <c r="Z486" s="40"/>
      <c r="AA486" s="40"/>
      <c r="AB486" s="40"/>
      <c r="AC486" s="40"/>
      <c r="AD486" s="40"/>
      <c r="AE486" s="40"/>
    </row>
    <row r="487" spans="4:31" ht="13.5" customHeight="1"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Y487" s="40"/>
      <c r="Z487" s="40"/>
      <c r="AA487" s="40"/>
      <c r="AB487" s="40"/>
      <c r="AC487" s="40"/>
      <c r="AD487" s="40"/>
      <c r="AE487" s="40"/>
    </row>
    <row r="488" spans="4:31" ht="13.5" customHeight="1"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Y488" s="40"/>
      <c r="Z488" s="40"/>
      <c r="AA488" s="40"/>
      <c r="AB488" s="40"/>
      <c r="AC488" s="40"/>
      <c r="AD488" s="40"/>
      <c r="AE488" s="40"/>
    </row>
    <row r="489" spans="4:31" ht="13.5" customHeight="1"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Y489" s="40"/>
      <c r="Z489" s="40"/>
      <c r="AA489" s="40"/>
      <c r="AB489" s="40"/>
      <c r="AC489" s="40"/>
      <c r="AD489" s="40"/>
      <c r="AE489" s="40"/>
    </row>
    <row r="490" spans="4:31" ht="13.5" customHeight="1"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Y490" s="40"/>
      <c r="Z490" s="40"/>
      <c r="AA490" s="40"/>
      <c r="AB490" s="40"/>
      <c r="AC490" s="40"/>
      <c r="AD490" s="40"/>
      <c r="AE490" s="40"/>
    </row>
    <row r="491" spans="4:31" ht="13.5" customHeight="1"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Y491" s="40"/>
      <c r="Z491" s="40"/>
      <c r="AA491" s="40"/>
      <c r="AB491" s="40"/>
      <c r="AC491" s="40"/>
      <c r="AD491" s="40"/>
      <c r="AE491" s="40"/>
    </row>
    <row r="492" spans="4:31" ht="13.5" customHeight="1"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Y492" s="40"/>
      <c r="Z492" s="40"/>
      <c r="AA492" s="40"/>
      <c r="AB492" s="40"/>
      <c r="AC492" s="40"/>
      <c r="AD492" s="40"/>
      <c r="AE492" s="40"/>
    </row>
    <row r="493" spans="4:31" ht="13.5" customHeight="1"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Y493" s="40"/>
      <c r="Z493" s="40"/>
      <c r="AA493" s="40"/>
      <c r="AB493" s="40"/>
      <c r="AC493" s="40"/>
      <c r="AD493" s="40"/>
      <c r="AE493" s="40"/>
    </row>
    <row r="494" spans="4:31" ht="13.5" customHeight="1"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Y494" s="40"/>
      <c r="Z494" s="40"/>
      <c r="AA494" s="40"/>
      <c r="AB494" s="40"/>
      <c r="AC494" s="40"/>
      <c r="AD494" s="40"/>
      <c r="AE494" s="40"/>
    </row>
    <row r="495" spans="4:31" ht="13.5" customHeight="1"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Y495" s="40"/>
      <c r="Z495" s="40"/>
      <c r="AA495" s="40"/>
      <c r="AB495" s="40"/>
      <c r="AC495" s="40"/>
      <c r="AD495" s="40"/>
      <c r="AE495" s="40"/>
    </row>
    <row r="496" spans="4:31" ht="13.5" customHeight="1"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Y496" s="40"/>
      <c r="Z496" s="40"/>
      <c r="AA496" s="40"/>
      <c r="AB496" s="40"/>
      <c r="AC496" s="40"/>
      <c r="AD496" s="40"/>
      <c r="AE496" s="40"/>
    </row>
    <row r="497" spans="4:31" ht="13.5" customHeight="1"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Y497" s="40"/>
      <c r="Z497" s="40"/>
      <c r="AA497" s="40"/>
      <c r="AB497" s="40"/>
      <c r="AC497" s="40"/>
      <c r="AD497" s="40"/>
      <c r="AE497" s="40"/>
    </row>
    <row r="498" spans="4:31" ht="13.5" customHeight="1"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Y498" s="40"/>
      <c r="Z498" s="40"/>
      <c r="AA498" s="40"/>
      <c r="AB498" s="40"/>
      <c r="AC498" s="40"/>
      <c r="AD498" s="40"/>
      <c r="AE498" s="40"/>
    </row>
    <row r="499" spans="4:31" ht="13.5" customHeight="1"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Y499" s="40"/>
      <c r="Z499" s="40"/>
      <c r="AA499" s="40"/>
      <c r="AB499" s="40"/>
      <c r="AC499" s="40"/>
      <c r="AD499" s="40"/>
      <c r="AE499" s="40"/>
    </row>
    <row r="500" spans="4:31" ht="13.5" customHeight="1"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Y500" s="40"/>
      <c r="Z500" s="40"/>
      <c r="AA500" s="40"/>
      <c r="AB500" s="40"/>
      <c r="AC500" s="40"/>
      <c r="AD500" s="40"/>
      <c r="AE500" s="40"/>
    </row>
    <row r="501" spans="4:31" ht="13.5" customHeight="1"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Y501" s="40"/>
      <c r="Z501" s="40"/>
      <c r="AA501" s="40"/>
      <c r="AB501" s="40"/>
      <c r="AC501" s="40"/>
      <c r="AD501" s="40"/>
      <c r="AE501" s="40"/>
    </row>
    <row r="502" spans="4:31" ht="13.5" customHeight="1"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Y502" s="40"/>
      <c r="Z502" s="40"/>
      <c r="AA502" s="40"/>
      <c r="AB502" s="40"/>
      <c r="AC502" s="40"/>
      <c r="AD502" s="40"/>
      <c r="AE502" s="40"/>
    </row>
    <row r="503" spans="4:31" ht="13.5" customHeight="1"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Y503" s="40"/>
      <c r="Z503" s="40"/>
      <c r="AA503" s="40"/>
      <c r="AB503" s="40"/>
      <c r="AC503" s="40"/>
      <c r="AD503" s="40"/>
      <c r="AE503" s="40"/>
    </row>
    <row r="504" spans="4:31" ht="13.5" customHeight="1"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Y504" s="40"/>
      <c r="Z504" s="40"/>
      <c r="AA504" s="40"/>
      <c r="AB504" s="40"/>
      <c r="AC504" s="40"/>
      <c r="AD504" s="40"/>
      <c r="AE504" s="40"/>
    </row>
    <row r="505" spans="4:31" ht="13.5" customHeight="1"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Y505" s="40"/>
      <c r="Z505" s="40"/>
      <c r="AA505" s="40"/>
      <c r="AB505" s="40"/>
      <c r="AC505" s="40"/>
      <c r="AD505" s="40"/>
      <c r="AE505" s="40"/>
    </row>
    <row r="506" spans="4:31" ht="13.5" customHeight="1"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Y506" s="40"/>
      <c r="Z506" s="40"/>
      <c r="AA506" s="40"/>
      <c r="AB506" s="40"/>
      <c r="AC506" s="40"/>
      <c r="AD506" s="40"/>
      <c r="AE506" s="40"/>
    </row>
    <row r="507" spans="4:31" ht="13.5" customHeight="1"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Y507" s="40"/>
      <c r="Z507" s="40"/>
      <c r="AA507" s="40"/>
      <c r="AB507" s="40"/>
      <c r="AC507" s="40"/>
      <c r="AD507" s="40"/>
      <c r="AE507" s="40"/>
    </row>
    <row r="508" spans="4:31" ht="13.5" customHeight="1"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Y508" s="40"/>
      <c r="Z508" s="40"/>
      <c r="AA508" s="40"/>
      <c r="AB508" s="40"/>
      <c r="AC508" s="40"/>
      <c r="AD508" s="40"/>
      <c r="AE508" s="40"/>
    </row>
    <row r="509" spans="4:31" ht="13.5" customHeight="1"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Y509" s="40"/>
      <c r="Z509" s="40"/>
      <c r="AA509" s="40"/>
      <c r="AB509" s="40"/>
      <c r="AC509" s="40"/>
      <c r="AD509" s="40"/>
      <c r="AE509" s="40"/>
    </row>
    <row r="510" spans="4:31" ht="13.5" customHeight="1"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Y510" s="40"/>
      <c r="Z510" s="40"/>
      <c r="AA510" s="40"/>
      <c r="AB510" s="40"/>
      <c r="AC510" s="40"/>
      <c r="AD510" s="40"/>
      <c r="AE510" s="40"/>
    </row>
    <row r="511" spans="4:31" ht="13.5" customHeight="1"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Y511" s="40"/>
      <c r="Z511" s="40"/>
      <c r="AA511" s="40"/>
      <c r="AB511" s="40"/>
      <c r="AC511" s="40"/>
      <c r="AD511" s="40"/>
      <c r="AE511" s="40"/>
    </row>
    <row r="512" spans="4:31" ht="13.5" customHeight="1"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Y512" s="40"/>
      <c r="Z512" s="40"/>
      <c r="AA512" s="40"/>
      <c r="AB512" s="40"/>
      <c r="AC512" s="40"/>
      <c r="AD512" s="40"/>
      <c r="AE512" s="40"/>
    </row>
    <row r="513" spans="4:31" ht="13.5" customHeight="1"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Y513" s="40"/>
      <c r="Z513" s="40"/>
      <c r="AA513" s="40"/>
      <c r="AB513" s="40"/>
      <c r="AC513" s="40"/>
      <c r="AD513" s="40"/>
      <c r="AE513" s="40"/>
    </row>
    <row r="514" spans="4:31" ht="13.5" customHeight="1"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Y514" s="40"/>
      <c r="Z514" s="40"/>
      <c r="AA514" s="40"/>
      <c r="AB514" s="40"/>
      <c r="AC514" s="40"/>
      <c r="AD514" s="40"/>
      <c r="AE514" s="40"/>
    </row>
    <row r="515" spans="4:31" ht="13.5" customHeight="1"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Y515" s="40"/>
      <c r="Z515" s="40"/>
      <c r="AA515" s="40"/>
      <c r="AB515" s="40"/>
      <c r="AC515" s="40"/>
      <c r="AD515" s="40"/>
      <c r="AE515" s="40"/>
    </row>
    <row r="516" spans="4:31" ht="13.5" customHeight="1"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Y516" s="40"/>
      <c r="Z516" s="40"/>
      <c r="AA516" s="40"/>
      <c r="AB516" s="40"/>
      <c r="AC516" s="40"/>
      <c r="AD516" s="40"/>
      <c r="AE516" s="40"/>
    </row>
    <row r="517" spans="4:31" ht="13.5" customHeight="1"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Y517" s="40"/>
      <c r="Z517" s="40"/>
      <c r="AA517" s="40"/>
      <c r="AB517" s="40"/>
      <c r="AC517" s="40"/>
      <c r="AD517" s="40"/>
      <c r="AE517" s="40"/>
    </row>
    <row r="518" spans="4:31" ht="13.5" customHeight="1"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Y518" s="40"/>
      <c r="Z518" s="40"/>
      <c r="AA518" s="40"/>
      <c r="AB518" s="40"/>
      <c r="AC518" s="40"/>
      <c r="AD518" s="40"/>
      <c r="AE518" s="40"/>
    </row>
    <row r="519" spans="4:31" ht="13.5" customHeight="1"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Y519" s="40"/>
      <c r="Z519" s="40"/>
      <c r="AA519" s="40"/>
      <c r="AB519" s="40"/>
      <c r="AC519" s="40"/>
      <c r="AD519" s="40"/>
      <c r="AE519" s="40"/>
    </row>
    <row r="520" spans="4:31" ht="13.5" customHeight="1"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Y520" s="40"/>
      <c r="Z520" s="40"/>
      <c r="AA520" s="40"/>
      <c r="AB520" s="40"/>
      <c r="AC520" s="40"/>
      <c r="AD520" s="40"/>
      <c r="AE520" s="40"/>
    </row>
    <row r="521" spans="4:31" ht="13.5" customHeight="1"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Y521" s="40"/>
      <c r="Z521" s="40"/>
      <c r="AA521" s="40"/>
      <c r="AB521" s="40"/>
      <c r="AC521" s="40"/>
      <c r="AD521" s="40"/>
      <c r="AE521" s="40"/>
    </row>
    <row r="522" spans="4:31" ht="13.5" customHeight="1"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Y522" s="40"/>
      <c r="Z522" s="40"/>
      <c r="AA522" s="40"/>
      <c r="AB522" s="40"/>
      <c r="AC522" s="40"/>
      <c r="AD522" s="40"/>
      <c r="AE522" s="40"/>
    </row>
    <row r="523" spans="4:31" ht="13.5" customHeight="1"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Y523" s="40"/>
      <c r="Z523" s="40"/>
      <c r="AA523" s="40"/>
      <c r="AB523" s="40"/>
      <c r="AC523" s="40"/>
      <c r="AD523" s="40"/>
      <c r="AE523" s="40"/>
    </row>
    <row r="524" spans="4:31" ht="13.5" customHeight="1"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Y524" s="40"/>
      <c r="Z524" s="40"/>
      <c r="AA524" s="40"/>
      <c r="AB524" s="40"/>
      <c r="AC524" s="40"/>
      <c r="AD524" s="40"/>
      <c r="AE524" s="40"/>
    </row>
    <row r="525" spans="4:31" ht="13.5" customHeight="1"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Y525" s="40"/>
      <c r="Z525" s="40"/>
      <c r="AA525" s="40"/>
      <c r="AB525" s="40"/>
      <c r="AC525" s="40"/>
      <c r="AD525" s="40"/>
      <c r="AE525" s="40"/>
    </row>
    <row r="526" spans="4:31" ht="13.5" customHeight="1"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Y526" s="40"/>
      <c r="Z526" s="40"/>
      <c r="AA526" s="40"/>
      <c r="AB526" s="40"/>
      <c r="AC526" s="40"/>
      <c r="AD526" s="40"/>
      <c r="AE526" s="40"/>
    </row>
    <row r="527" spans="4:31" ht="13.5" customHeight="1"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Y527" s="40"/>
      <c r="Z527" s="40"/>
      <c r="AA527" s="40"/>
      <c r="AB527" s="40"/>
      <c r="AC527" s="40"/>
      <c r="AD527" s="40"/>
      <c r="AE527" s="40"/>
    </row>
    <row r="528" spans="4:31" ht="13.5" customHeight="1"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Y528" s="40"/>
      <c r="Z528" s="40"/>
      <c r="AA528" s="40"/>
      <c r="AB528" s="40"/>
      <c r="AC528" s="40"/>
      <c r="AD528" s="40"/>
      <c r="AE528" s="40"/>
    </row>
    <row r="529" spans="4:31" ht="13.5" customHeight="1"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Y529" s="40"/>
      <c r="Z529" s="40"/>
      <c r="AA529" s="40"/>
      <c r="AB529" s="40"/>
      <c r="AC529" s="40"/>
      <c r="AD529" s="40"/>
      <c r="AE529" s="40"/>
    </row>
    <row r="530" spans="4:31" ht="13.5" customHeight="1"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Y530" s="40"/>
      <c r="Z530" s="40"/>
      <c r="AA530" s="40"/>
      <c r="AB530" s="40"/>
      <c r="AC530" s="40"/>
      <c r="AD530" s="40"/>
      <c r="AE530" s="40"/>
    </row>
    <row r="531" spans="4:31" ht="13.5" customHeight="1"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Y531" s="40"/>
      <c r="Z531" s="40"/>
      <c r="AA531" s="40"/>
      <c r="AB531" s="40"/>
      <c r="AC531" s="40"/>
      <c r="AD531" s="40"/>
      <c r="AE531" s="40"/>
    </row>
    <row r="532" spans="4:31" ht="13.5" customHeight="1"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Y532" s="40"/>
      <c r="Z532" s="40"/>
      <c r="AA532" s="40"/>
      <c r="AB532" s="40"/>
      <c r="AC532" s="40"/>
      <c r="AD532" s="40"/>
      <c r="AE532" s="40"/>
    </row>
    <row r="533" spans="4:31" ht="13.5" customHeight="1"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Y533" s="40"/>
      <c r="Z533" s="40"/>
      <c r="AA533" s="40"/>
      <c r="AB533" s="40"/>
      <c r="AC533" s="40"/>
      <c r="AD533" s="40"/>
      <c r="AE533" s="40"/>
    </row>
    <row r="534" spans="4:31" ht="13.5" customHeight="1"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Y534" s="40"/>
      <c r="Z534" s="40"/>
      <c r="AA534" s="40"/>
      <c r="AB534" s="40"/>
      <c r="AC534" s="40"/>
      <c r="AD534" s="40"/>
      <c r="AE534" s="40"/>
    </row>
    <row r="535" spans="4:31" ht="13.5" customHeight="1"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Y535" s="40"/>
      <c r="Z535" s="40"/>
      <c r="AA535" s="40"/>
      <c r="AB535" s="40"/>
      <c r="AC535" s="40"/>
      <c r="AD535" s="40"/>
      <c r="AE535" s="40"/>
    </row>
    <row r="536" spans="4:31" ht="13.5" customHeight="1"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Y536" s="40"/>
      <c r="Z536" s="40"/>
      <c r="AA536" s="40"/>
      <c r="AB536" s="40"/>
      <c r="AC536" s="40"/>
      <c r="AD536" s="40"/>
      <c r="AE536" s="40"/>
    </row>
    <row r="537" spans="4:31" ht="13.5" customHeight="1"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Y537" s="40"/>
      <c r="Z537" s="40"/>
      <c r="AA537" s="40"/>
      <c r="AB537" s="40"/>
      <c r="AC537" s="40"/>
      <c r="AD537" s="40"/>
      <c r="AE537" s="40"/>
    </row>
    <row r="538" spans="4:31" ht="13.5" customHeight="1"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Y538" s="40"/>
      <c r="Z538" s="40"/>
      <c r="AA538" s="40"/>
      <c r="AB538" s="40"/>
      <c r="AC538" s="40"/>
      <c r="AD538" s="40"/>
      <c r="AE538" s="40"/>
    </row>
    <row r="539" spans="4:31" ht="13.5" customHeight="1"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Y539" s="40"/>
      <c r="Z539" s="40"/>
      <c r="AA539" s="40"/>
      <c r="AB539" s="40"/>
      <c r="AC539" s="40"/>
      <c r="AD539" s="40"/>
      <c r="AE539" s="40"/>
    </row>
    <row r="540" spans="4:31" ht="13.5" customHeight="1"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Y540" s="40"/>
      <c r="Z540" s="40"/>
      <c r="AA540" s="40"/>
      <c r="AB540" s="40"/>
      <c r="AC540" s="40"/>
      <c r="AD540" s="40"/>
      <c r="AE540" s="40"/>
    </row>
    <row r="541" spans="4:31" ht="13.5" customHeight="1"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Y541" s="40"/>
      <c r="Z541" s="40"/>
      <c r="AA541" s="40"/>
      <c r="AB541" s="40"/>
      <c r="AC541" s="40"/>
      <c r="AD541" s="40"/>
      <c r="AE541" s="40"/>
    </row>
  </sheetData>
  <sheetProtection/>
  <printOptions horizontalCentered="1"/>
  <pageMargins left="0" right="0" top="0.25" bottom="0.25" header="0.25" footer="0.25"/>
  <pageSetup horizontalDpi="600" verticalDpi="600" orientation="landscape" paperSize="5" scale="80" r:id="rId3"/>
  <headerFooter alignWithMargins="0">
    <oddFooter>&amp;L&amp;12&amp;Z&amp;F:&amp;A&amp;R&amp;12&amp;D  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Shanny Yam</dc:creator>
  <cp:keywords/>
  <dc:description/>
  <cp:lastModifiedBy>Thomas, Geoffrey</cp:lastModifiedBy>
  <dcterms:created xsi:type="dcterms:W3CDTF">2019-10-21T00:09:43Z</dcterms:created>
  <dcterms:modified xsi:type="dcterms:W3CDTF">2019-10-24T21:17:21Z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">
    <vt:lpwstr>Workshops</vt:lpwstr>
  </property>
</Properties>
</file>